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hoc-cdc.ca\AdminPrivate\FS06U\ScrimJ\Desktop\"/>
    </mc:Choice>
  </mc:AlternateContent>
  <xr:revisionPtr revIDLastSave="0" documentId="8_{A0BFFC18-53EA-4648-8EB8-9067227039ED}" xr6:coauthVersionLast="31" xr6:coauthVersionMax="31" xr10:uidLastSave="{00000000-0000-0000-0000-000000000000}"/>
  <bookViews>
    <workbookView xWindow="0" yWindow="0" windowWidth="13680" windowHeight="6870" xr2:uid="{00000000-000D-0000-FFFF-FFFF00000000}"/>
  </bookViews>
  <sheets>
    <sheet name="Résumé" sheetId="35" r:id="rId1"/>
    <sheet name="Analyse de l'échéancier" sheetId="28" r:id="rId2"/>
    <sheet name="Analyse de l'actualité" sheetId="29" r:id="rId3"/>
    <sheet name="VAN du pipeline actuel" sheetId="1" r:id="rId4"/>
    <sheet name="Agrandissement,2020 -10_ex-post" sheetId="17" r:id="rId5"/>
    <sheet name="Agrandissement,2020_ex-post" sheetId="13" r:id="rId6"/>
    <sheet name="Agrandissement,2020 +10_ex-post" sheetId="23" r:id="rId7"/>
    <sheet name="Agrandissement,2021 -10_ex-post" sheetId="16" r:id="rId8"/>
    <sheet name="Agrandissement,2021_ex-post" sheetId="2" r:id="rId9"/>
    <sheet name="Agrandissement,2021 +10_ex-post" sheetId="15" r:id="rId10"/>
    <sheet name="Agrandissement,2022 -10_ex-post" sheetId="24" r:id="rId11"/>
    <sheet name="Agrandissement,2022_ex-post" sheetId="12" r:id="rId12"/>
    <sheet name="Agrandissement,2022 +10_ex-post" sheetId="25" r:id="rId13"/>
    <sheet name="Agrandissement,2023 -10_ex-post" sheetId="27" r:id="rId14"/>
    <sheet name="Agrandissement,2023_ex-post" sheetId="14" r:id="rId15"/>
    <sheet name="Agrandissement,2023 +10_ex-post" sheetId="26" r:id="rId16"/>
    <sheet name="Agrandissement,2020 -10_ex-ante" sheetId="38" r:id="rId17"/>
    <sheet name="Agrandissement,2020_ex-ante" sheetId="39" r:id="rId18"/>
    <sheet name="Agrandissement,2020 +10_ex-ante" sheetId="40" r:id="rId19"/>
    <sheet name="Agrandissement,2021 -10_ex-ante" sheetId="41" r:id="rId20"/>
    <sheet name="Agrandissement,2021_ex-ante" sheetId="42" r:id="rId21"/>
    <sheet name="Agrandissement,2021 +10_ex-ante" sheetId="44" r:id="rId22"/>
    <sheet name="Agrandissement,2022 -10_ex-ante" sheetId="45" r:id="rId23"/>
    <sheet name="Agrandissement,2022_ex-ante" sheetId="46" r:id="rId24"/>
    <sheet name="Agrandissement,2022 +10_ex-ante" sheetId="47" r:id="rId25"/>
    <sheet name="Agrandissement,2023 -10_ex-ante" sheetId="48" r:id="rId26"/>
    <sheet name="Agrandissement,2023_ex-ante" sheetId="50" r:id="rId27"/>
    <sheet name="Agrandissement,2023 +10_ex-ante" sheetId="49" r:id="rId28"/>
    <sheet name="Entreprises comparables" sheetId="9" r:id="rId29"/>
    <sheet name="Comparables - mise à jour" sheetId="34" r:id="rId30"/>
    <sheet name=" Retombées économiques" sheetId="31" r:id="rId31"/>
    <sheet name="Écart de prix WTI-WCS" sheetId="30" r:id="rId32"/>
    <sheet name="Transactions précédentes" sheetId="3" r:id="rId33"/>
    <sheet name="Fiches diverses&gt;" sheetId="37" r:id="rId34"/>
    <sheet name="Débit" sheetId="7" r:id="rId35"/>
    <sheet name="Droits" sheetId="6" r:id="rId36"/>
    <sheet name="Écarts de prix" sheetId="5" r:id="rId37"/>
  </sheets>
  <externalReferences>
    <externalReference r:id="rId38"/>
  </externalReferences>
  <definedNames>
    <definedName name="_xlnm._FilterDatabase" localSheetId="34" hidden="1">Débit!$A$1:$J$211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43336.0840509259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8">'Agrandissement,2020 +10_ex-ante'!$B$4:$AU$26</definedName>
    <definedName name="_xlnm.Print_Area" localSheetId="6">'Agrandissement,2020 +10_ex-post'!$B$4:$AU$26</definedName>
    <definedName name="_xlnm.Print_Area" localSheetId="16">'Agrandissement,2020 -10_ex-ante'!$B$4:$AU$26</definedName>
    <definedName name="_xlnm.Print_Area" localSheetId="4">'Agrandissement,2020 -10_ex-post'!$B$4:$AU$26</definedName>
    <definedName name="_xlnm.Print_Area" localSheetId="17">'Agrandissement,2020_ex-ante'!$B$4:$AU$24</definedName>
    <definedName name="_xlnm.Print_Area" localSheetId="5">'Agrandissement,2020_ex-post'!$B$4:$AU$24</definedName>
    <definedName name="_xlnm.Print_Area" localSheetId="21">'Agrandissement,2021 +10_ex-ante'!$B$4:$AU$26</definedName>
    <definedName name="_xlnm.Print_Area" localSheetId="9">'Agrandissement,2021 +10_ex-post'!$B$4:$AU$26</definedName>
    <definedName name="_xlnm.Print_Area" localSheetId="19">'Agrandissement,2021 -10_ex-ante'!$B$4:$AU$26</definedName>
    <definedName name="_xlnm.Print_Area" localSheetId="7">'Agrandissement,2021 -10_ex-post'!$B$4:$AU$26</definedName>
    <definedName name="_xlnm.Print_Area" localSheetId="20">'Agrandissement,2021_ex-ante'!$B$4:$AU$24</definedName>
    <definedName name="_xlnm.Print_Area" localSheetId="8">'Agrandissement,2021_ex-post'!$B$4:$AU$24</definedName>
    <definedName name="_xlnm.Print_Area" localSheetId="24">'Agrandissement,2022 +10_ex-ante'!$B$4:$AU$26</definedName>
    <definedName name="_xlnm.Print_Area" localSheetId="12">'Agrandissement,2022 +10_ex-post'!$B$4:$AU$26</definedName>
    <definedName name="_xlnm.Print_Area" localSheetId="22">'Agrandissement,2022 -10_ex-ante'!$B$4:$AU$26</definedName>
    <definedName name="_xlnm.Print_Area" localSheetId="10">'Agrandissement,2022 -10_ex-post'!$B$4:$AU$26</definedName>
    <definedName name="_xlnm.Print_Area" localSheetId="23">'Agrandissement,2022_ex-ante'!$B$4:$AU$24</definedName>
    <definedName name="_xlnm.Print_Area" localSheetId="11">'Agrandissement,2022_ex-post'!$B$4:$AU$24</definedName>
    <definedName name="_xlnm.Print_Area" localSheetId="27">'Agrandissement,2023 +10_ex-ante'!$B$4:$AV$26</definedName>
    <definedName name="_xlnm.Print_Area" localSheetId="15">'Agrandissement,2023 +10_ex-post'!$B$4:$AV$26</definedName>
    <definedName name="_xlnm.Print_Area" localSheetId="25">'Agrandissement,2023 -10_ex-ante'!$B$4:$AV$26</definedName>
    <definedName name="_xlnm.Print_Area" localSheetId="13">'Agrandissement,2023 -10_ex-post'!$B$4:$AV$26</definedName>
    <definedName name="_xlnm.Print_Area" localSheetId="26">'Agrandissement,2023_ex-ante'!$B$4:$AV$24</definedName>
    <definedName name="_xlnm.Print_Area" localSheetId="14">'Agrandissement,2023_ex-post'!$B$4:$AV$24</definedName>
    <definedName name="_xlnm.Print_Area" localSheetId="3">'VAN du pipeline actuel'!$B$4:$AU$23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6" l="1"/>
  <c r="F21" i="16"/>
  <c r="G21" i="16"/>
  <c r="H21" i="16"/>
  <c r="I21" i="16"/>
  <c r="I21" i="17"/>
  <c r="H21" i="17"/>
  <c r="G21" i="17"/>
  <c r="F21" i="17"/>
  <c r="AV21" i="50"/>
  <c r="AV22" i="50" s="1"/>
  <c r="AU21" i="50"/>
  <c r="AT21" i="50"/>
  <c r="E21" i="50"/>
  <c r="E22" i="50" s="1"/>
  <c r="C21" i="50"/>
  <c r="F18" i="50"/>
  <c r="G18" i="50" s="1"/>
  <c r="AT6" i="50"/>
  <c r="E12" i="49"/>
  <c r="J21" i="49"/>
  <c r="H21" i="49"/>
  <c r="F21" i="49"/>
  <c r="E21" i="49"/>
  <c r="K19" i="49"/>
  <c r="K21" i="49" s="1"/>
  <c r="J19" i="49"/>
  <c r="I19" i="49"/>
  <c r="I21" i="49" s="1"/>
  <c r="H19" i="49"/>
  <c r="G19" i="49"/>
  <c r="G21" i="49" s="1"/>
  <c r="AV23" i="49"/>
  <c r="AV24" i="49" s="1"/>
  <c r="AU23" i="49"/>
  <c r="AT23" i="49"/>
  <c r="E23" i="49"/>
  <c r="C23" i="49"/>
  <c r="E24" i="49"/>
  <c r="H18" i="49"/>
  <c r="H23" i="49" s="1"/>
  <c r="G18" i="49"/>
  <c r="G23" i="49" s="1"/>
  <c r="F18" i="49"/>
  <c r="F23" i="49" s="1"/>
  <c r="AT6" i="49"/>
  <c r="K21" i="48"/>
  <c r="J21" i="48"/>
  <c r="I21" i="48"/>
  <c r="H21" i="48"/>
  <c r="G21" i="48"/>
  <c r="F21" i="48"/>
  <c r="E21" i="48"/>
  <c r="K19" i="48"/>
  <c r="J19" i="48"/>
  <c r="I19" i="48"/>
  <c r="H19" i="48"/>
  <c r="G19" i="48"/>
  <c r="AV23" i="48"/>
  <c r="AV24" i="48" s="1"/>
  <c r="AU23" i="48"/>
  <c r="AT23" i="48"/>
  <c r="E23" i="48"/>
  <c r="C23" i="48"/>
  <c r="F18" i="48"/>
  <c r="F23" i="48" s="1"/>
  <c r="AT6" i="48"/>
  <c r="J21" i="47"/>
  <c r="I21" i="47"/>
  <c r="H21" i="47"/>
  <c r="G21" i="47"/>
  <c r="F21" i="47"/>
  <c r="E21" i="47"/>
  <c r="J19" i="47"/>
  <c r="I19" i="47"/>
  <c r="H19" i="47"/>
  <c r="G19" i="47"/>
  <c r="F19" i="47"/>
  <c r="AU23" i="47"/>
  <c r="AU24" i="47" s="1"/>
  <c r="AT23" i="47"/>
  <c r="E23" i="47"/>
  <c r="C23" i="47"/>
  <c r="E24" i="47"/>
  <c r="F18" i="47"/>
  <c r="G18" i="47" s="1"/>
  <c r="H18" i="47" s="1"/>
  <c r="H23" i="47" s="1"/>
  <c r="AT6" i="47"/>
  <c r="AU22" i="46"/>
  <c r="AU21" i="46"/>
  <c r="AT21" i="46"/>
  <c r="E21" i="46"/>
  <c r="E22" i="46" s="1"/>
  <c r="C21" i="46"/>
  <c r="F18" i="46"/>
  <c r="G18" i="46" s="1"/>
  <c r="AT6" i="46"/>
  <c r="J21" i="45"/>
  <c r="I21" i="45"/>
  <c r="H21" i="45"/>
  <c r="G21" i="45"/>
  <c r="F21" i="45"/>
  <c r="E21" i="45"/>
  <c r="J19" i="45"/>
  <c r="I19" i="45"/>
  <c r="H19" i="45"/>
  <c r="G19" i="45"/>
  <c r="F19" i="45"/>
  <c r="AU24" i="45"/>
  <c r="AU23" i="45"/>
  <c r="AT23" i="45"/>
  <c r="F23" i="45"/>
  <c r="F24" i="45" s="1"/>
  <c r="E23" i="45"/>
  <c r="C23" i="45"/>
  <c r="G18" i="45"/>
  <c r="H18" i="45" s="1"/>
  <c r="F18" i="45"/>
  <c r="AT6" i="45"/>
  <c r="I21" i="44"/>
  <c r="H21" i="44"/>
  <c r="G21" i="44"/>
  <c r="F21" i="44"/>
  <c r="E21" i="44"/>
  <c r="AT23" i="44"/>
  <c r="AT24" i="44" s="1"/>
  <c r="E23" i="44"/>
  <c r="C23" i="44"/>
  <c r="I19" i="44"/>
  <c r="H19" i="44"/>
  <c r="G19" i="44"/>
  <c r="F19" i="44"/>
  <c r="E19" i="44"/>
  <c r="E24" i="44" s="1"/>
  <c r="F18" i="44"/>
  <c r="F23" i="44" s="1"/>
  <c r="AT6" i="44"/>
  <c r="K23" i="42"/>
  <c r="J23" i="42"/>
  <c r="I23" i="42"/>
  <c r="H23" i="42"/>
  <c r="G23" i="42"/>
  <c r="F23" i="42"/>
  <c r="E23" i="42"/>
  <c r="AT22" i="42"/>
  <c r="L22" i="42"/>
  <c r="K22" i="42"/>
  <c r="J22" i="42"/>
  <c r="I22" i="42"/>
  <c r="H22" i="42"/>
  <c r="G22" i="42"/>
  <c r="F22" i="42"/>
  <c r="E22" i="42"/>
  <c r="AT21" i="42"/>
  <c r="N21" i="42"/>
  <c r="M21" i="42"/>
  <c r="L21" i="42"/>
  <c r="K21" i="42"/>
  <c r="J21" i="42"/>
  <c r="I21" i="42"/>
  <c r="H21" i="42"/>
  <c r="G21" i="42"/>
  <c r="F21" i="42"/>
  <c r="E21" i="42"/>
  <c r="C21" i="42"/>
  <c r="O18" i="42"/>
  <c r="P18" i="42" s="1"/>
  <c r="N18" i="42"/>
  <c r="M18" i="42"/>
  <c r="L18" i="42"/>
  <c r="K18" i="42"/>
  <c r="J18" i="42"/>
  <c r="I18" i="42"/>
  <c r="H18" i="42"/>
  <c r="G18" i="42"/>
  <c r="F18" i="42"/>
  <c r="AT6" i="42"/>
  <c r="I21" i="41"/>
  <c r="H21" i="41"/>
  <c r="G21" i="41"/>
  <c r="F21" i="41"/>
  <c r="E21" i="41"/>
  <c r="I19" i="41"/>
  <c r="H19" i="41"/>
  <c r="G19" i="41"/>
  <c r="F19" i="41"/>
  <c r="E19" i="41"/>
  <c r="AT24" i="41"/>
  <c r="AT23" i="41"/>
  <c r="G23" i="41"/>
  <c r="G24" i="41" s="1"/>
  <c r="F23" i="41"/>
  <c r="F24" i="41" s="1"/>
  <c r="E23" i="41"/>
  <c r="C23" i="41"/>
  <c r="E24" i="41"/>
  <c r="G18" i="41"/>
  <c r="H18" i="41" s="1"/>
  <c r="F18" i="41"/>
  <c r="AT6" i="41"/>
  <c r="H19" i="40"/>
  <c r="G19" i="40"/>
  <c r="G21" i="40" s="1"/>
  <c r="F19" i="40"/>
  <c r="E19" i="40"/>
  <c r="I21" i="40"/>
  <c r="H21" i="40"/>
  <c r="F21" i="40"/>
  <c r="E21" i="40"/>
  <c r="E24" i="40"/>
  <c r="AT23" i="40"/>
  <c r="AT24" i="40" s="1"/>
  <c r="E23" i="40"/>
  <c r="C23" i="40"/>
  <c r="F18" i="40"/>
  <c r="AT6" i="40"/>
  <c r="E19" i="39"/>
  <c r="AT22" i="39"/>
  <c r="F22" i="39"/>
  <c r="E22" i="39"/>
  <c r="AT21" i="39"/>
  <c r="H21" i="39"/>
  <c r="H22" i="39" s="1"/>
  <c r="G21" i="39"/>
  <c r="G22" i="39" s="1"/>
  <c r="F21" i="39"/>
  <c r="E21" i="39"/>
  <c r="C21" i="39"/>
  <c r="I18" i="39"/>
  <c r="I21" i="39" s="1"/>
  <c r="I22" i="39" s="1"/>
  <c r="H18" i="39"/>
  <c r="G18" i="39"/>
  <c r="F18" i="39"/>
  <c r="AT6" i="39"/>
  <c r="F21" i="38"/>
  <c r="G21" i="38"/>
  <c r="H21" i="38"/>
  <c r="I21" i="38"/>
  <c r="E21" i="38"/>
  <c r="H19" i="38"/>
  <c r="G19" i="38"/>
  <c r="F19" i="38"/>
  <c r="E19" i="38"/>
  <c r="AT23" i="38"/>
  <c r="AT24" i="38" s="1"/>
  <c r="E23" i="38"/>
  <c r="E24" i="38" s="1"/>
  <c r="C23" i="38"/>
  <c r="F18" i="38"/>
  <c r="F23" i="38" s="1"/>
  <c r="F24" i="38" s="1"/>
  <c r="AT6" i="38"/>
  <c r="H18" i="50" l="1"/>
  <c r="G21" i="50"/>
  <c r="G22" i="50" s="1"/>
  <c r="E23" i="50"/>
  <c r="F21" i="50"/>
  <c r="F22" i="50" s="1"/>
  <c r="E25" i="49"/>
  <c r="H24" i="49"/>
  <c r="G24" i="49"/>
  <c r="F24" i="49"/>
  <c r="I18" i="49"/>
  <c r="G18" i="48"/>
  <c r="G23" i="48" s="1"/>
  <c r="E24" i="48"/>
  <c r="E25" i="48" s="1"/>
  <c r="G24" i="48"/>
  <c r="F24" i="48"/>
  <c r="H24" i="47"/>
  <c r="E25" i="47"/>
  <c r="G23" i="47"/>
  <c r="G24" i="47" s="1"/>
  <c r="I18" i="47"/>
  <c r="F23" i="47"/>
  <c r="F24" i="47" s="1"/>
  <c r="H18" i="46"/>
  <c r="G21" i="46"/>
  <c r="G22" i="46" s="1"/>
  <c r="E23" i="46"/>
  <c r="F21" i="46"/>
  <c r="F22" i="46" s="1"/>
  <c r="H23" i="45"/>
  <c r="H24" i="45" s="1"/>
  <c r="I18" i="45"/>
  <c r="E24" i="45"/>
  <c r="G23" i="45"/>
  <c r="G24" i="45" s="1"/>
  <c r="F24" i="44"/>
  <c r="F25" i="44" s="1"/>
  <c r="E25" i="44"/>
  <c r="G18" i="44"/>
  <c r="Q18" i="42"/>
  <c r="P21" i="42"/>
  <c r="O21" i="42"/>
  <c r="L23" i="42"/>
  <c r="I18" i="41"/>
  <c r="H23" i="41"/>
  <c r="H24" i="41" s="1"/>
  <c r="H25" i="41" s="1"/>
  <c r="F25" i="41"/>
  <c r="E25" i="41"/>
  <c r="G25" i="41"/>
  <c r="E25" i="40"/>
  <c r="F23" i="40"/>
  <c r="F24" i="40" s="1"/>
  <c r="G18" i="40"/>
  <c r="G23" i="39"/>
  <c r="J18" i="39"/>
  <c r="E23" i="39"/>
  <c r="I23" i="39"/>
  <c r="H23" i="39"/>
  <c r="F23" i="39"/>
  <c r="G18" i="38"/>
  <c r="F25" i="38"/>
  <c r="E25" i="38"/>
  <c r="F23" i="50" l="1"/>
  <c r="G23" i="50"/>
  <c r="H21" i="50"/>
  <c r="H22" i="50" s="1"/>
  <c r="H23" i="50" s="1"/>
  <c r="I18" i="50"/>
  <c r="H25" i="49"/>
  <c r="J18" i="49"/>
  <c r="I23" i="49"/>
  <c r="I24" i="49" s="1"/>
  <c r="F25" i="49"/>
  <c r="G25" i="49"/>
  <c r="H18" i="48"/>
  <c r="G25" i="48"/>
  <c r="F25" i="48"/>
  <c r="I23" i="47"/>
  <c r="I24" i="47" s="1"/>
  <c r="I25" i="47" s="1"/>
  <c r="J18" i="47"/>
  <c r="H25" i="47"/>
  <c r="F25" i="47"/>
  <c r="G25" i="47"/>
  <c r="F23" i="46"/>
  <c r="G23" i="46"/>
  <c r="I18" i="46"/>
  <c r="H21" i="46"/>
  <c r="H22" i="46" s="1"/>
  <c r="H23" i="46" s="1"/>
  <c r="G25" i="45"/>
  <c r="F25" i="45"/>
  <c r="E25" i="45"/>
  <c r="H25" i="45"/>
  <c r="I23" i="45"/>
  <c r="I24" i="45" s="1"/>
  <c r="J18" i="45"/>
  <c r="H18" i="44"/>
  <c r="G23" i="44"/>
  <c r="G24" i="44" s="1"/>
  <c r="M19" i="42"/>
  <c r="R18" i="42"/>
  <c r="Q21" i="42"/>
  <c r="Q22" i="42" s="1"/>
  <c r="I23" i="41"/>
  <c r="I24" i="41" s="1"/>
  <c r="J18" i="41"/>
  <c r="H18" i="40"/>
  <c r="G23" i="40"/>
  <c r="G24" i="40" s="1"/>
  <c r="F25" i="40"/>
  <c r="J21" i="39"/>
  <c r="J22" i="39" s="1"/>
  <c r="K18" i="39"/>
  <c r="G23" i="38"/>
  <c r="G24" i="38" s="1"/>
  <c r="H18" i="38"/>
  <c r="I21" i="50" l="1"/>
  <c r="I22" i="50" s="1"/>
  <c r="J18" i="50"/>
  <c r="I23" i="50"/>
  <c r="K18" i="49"/>
  <c r="J23" i="49"/>
  <c r="J24" i="49" s="1"/>
  <c r="I25" i="49"/>
  <c r="J25" i="49"/>
  <c r="H23" i="48"/>
  <c r="H24" i="48" s="1"/>
  <c r="H25" i="48" s="1"/>
  <c r="I18" i="48"/>
  <c r="K18" i="47"/>
  <c r="J23" i="47"/>
  <c r="J24" i="47" s="1"/>
  <c r="J25" i="47" s="1"/>
  <c r="I21" i="46"/>
  <c r="I22" i="46" s="1"/>
  <c r="J18" i="46"/>
  <c r="K18" i="45"/>
  <c r="J23" i="45"/>
  <c r="J24" i="45" s="1"/>
  <c r="I25" i="45"/>
  <c r="G25" i="44"/>
  <c r="I18" i="44"/>
  <c r="H23" i="44"/>
  <c r="H24" i="44" s="1"/>
  <c r="R21" i="42"/>
  <c r="S18" i="42"/>
  <c r="M22" i="42"/>
  <c r="N19" i="42"/>
  <c r="I25" i="41"/>
  <c r="J23" i="41"/>
  <c r="J24" i="41" s="1"/>
  <c r="J25" i="41" s="1"/>
  <c r="K18" i="41"/>
  <c r="G25" i="40"/>
  <c r="I18" i="40"/>
  <c r="H23" i="40"/>
  <c r="H24" i="40" s="1"/>
  <c r="L18" i="39"/>
  <c r="K21" i="39"/>
  <c r="K22" i="39" s="1"/>
  <c r="K23" i="39"/>
  <c r="J23" i="39"/>
  <c r="H23" i="38"/>
  <c r="H24" i="38" s="1"/>
  <c r="H25" i="38" s="1"/>
  <c r="I18" i="38"/>
  <c r="G25" i="38"/>
  <c r="K18" i="50" l="1"/>
  <c r="J21" i="50"/>
  <c r="J22" i="50" s="1"/>
  <c r="K23" i="49"/>
  <c r="K24" i="49" s="1"/>
  <c r="L18" i="49"/>
  <c r="I23" i="48"/>
  <c r="I24" i="48" s="1"/>
  <c r="I25" i="48" s="1"/>
  <c r="J18" i="48"/>
  <c r="L18" i="47"/>
  <c r="K23" i="47"/>
  <c r="K24" i="47" s="1"/>
  <c r="J21" i="46"/>
  <c r="J22" i="46" s="1"/>
  <c r="K18" i="46"/>
  <c r="I23" i="46"/>
  <c r="L18" i="45"/>
  <c r="K23" i="45"/>
  <c r="K24" i="45" s="1"/>
  <c r="J25" i="45"/>
  <c r="I23" i="44"/>
  <c r="I24" i="44" s="1"/>
  <c r="I25" i="44" s="1"/>
  <c r="J18" i="44"/>
  <c r="H25" i="44"/>
  <c r="O19" i="42"/>
  <c r="N22" i="42"/>
  <c r="M23" i="42"/>
  <c r="N23" i="42"/>
  <c r="S21" i="42"/>
  <c r="T18" i="42"/>
  <c r="K23" i="41"/>
  <c r="K24" i="41" s="1"/>
  <c r="L18" i="41"/>
  <c r="I23" i="40"/>
  <c r="I24" i="40" s="1"/>
  <c r="J18" i="40"/>
  <c r="H25" i="40"/>
  <c r="L21" i="39"/>
  <c r="M18" i="39"/>
  <c r="I23" i="38"/>
  <c r="I24" i="38" s="1"/>
  <c r="J18" i="38"/>
  <c r="L18" i="50" l="1"/>
  <c r="K21" i="50"/>
  <c r="K22" i="50" s="1"/>
  <c r="J23" i="50"/>
  <c r="L23" i="49"/>
  <c r="L24" i="49" s="1"/>
  <c r="M18" i="49"/>
  <c r="K25" i="49"/>
  <c r="K18" i="48"/>
  <c r="J23" i="48"/>
  <c r="J24" i="48" s="1"/>
  <c r="J25" i="48" s="1"/>
  <c r="K25" i="47"/>
  <c r="L23" i="47"/>
  <c r="L24" i="47" s="1"/>
  <c r="M18" i="47"/>
  <c r="J23" i="46"/>
  <c r="L18" i="46"/>
  <c r="K21" i="46"/>
  <c r="K22" i="46" s="1"/>
  <c r="K25" i="45"/>
  <c r="L23" i="45"/>
  <c r="L24" i="45" s="1"/>
  <c r="M18" i="45"/>
  <c r="J23" i="44"/>
  <c r="J24" i="44" s="1"/>
  <c r="K18" i="44"/>
  <c r="J25" i="44"/>
  <c r="U18" i="42"/>
  <c r="T21" i="42"/>
  <c r="P19" i="42"/>
  <c r="P22" i="42" s="1"/>
  <c r="O22" i="42"/>
  <c r="M18" i="41"/>
  <c r="L23" i="41"/>
  <c r="L24" i="41" s="1"/>
  <c r="K25" i="41"/>
  <c r="I25" i="40"/>
  <c r="J23" i="40"/>
  <c r="J24" i="40" s="1"/>
  <c r="K18" i="40"/>
  <c r="N18" i="39"/>
  <c r="M21" i="39"/>
  <c r="J23" i="38"/>
  <c r="J24" i="38" s="1"/>
  <c r="J25" i="38" s="1"/>
  <c r="K18" i="38"/>
  <c r="I25" i="38"/>
  <c r="L21" i="50" l="1"/>
  <c r="L22" i="50" s="1"/>
  <c r="M18" i="50"/>
  <c r="K23" i="50"/>
  <c r="N18" i="49"/>
  <c r="M23" i="49"/>
  <c r="M24" i="49" s="1"/>
  <c r="L25" i="49"/>
  <c r="K23" i="48"/>
  <c r="K24" i="48" s="1"/>
  <c r="K25" i="48" s="1"/>
  <c r="L18" i="48"/>
  <c r="L25" i="48"/>
  <c r="L25" i="47"/>
  <c r="M23" i="47"/>
  <c r="M24" i="47" s="1"/>
  <c r="M25" i="47" s="1"/>
  <c r="N18" i="47"/>
  <c r="M18" i="46"/>
  <c r="L21" i="46"/>
  <c r="L22" i="46" s="1"/>
  <c r="L23" i="46"/>
  <c r="K23" i="46"/>
  <c r="L25" i="45"/>
  <c r="M23" i="45"/>
  <c r="M24" i="45" s="1"/>
  <c r="N18" i="45"/>
  <c r="L18" i="44"/>
  <c r="K23" i="44"/>
  <c r="K24" i="44" s="1"/>
  <c r="P23" i="42"/>
  <c r="O23" i="42"/>
  <c r="Q23" i="42"/>
  <c r="V18" i="42"/>
  <c r="U21" i="42"/>
  <c r="N18" i="41"/>
  <c r="M23" i="41"/>
  <c r="L25" i="41"/>
  <c r="L18" i="40"/>
  <c r="K23" i="40"/>
  <c r="K24" i="40" s="1"/>
  <c r="J25" i="40"/>
  <c r="N21" i="39"/>
  <c r="O18" i="39"/>
  <c r="K23" i="38"/>
  <c r="K24" i="38" s="1"/>
  <c r="L18" i="38"/>
  <c r="N18" i="50" l="1"/>
  <c r="M21" i="50"/>
  <c r="M22" i="50" s="1"/>
  <c r="M23" i="50" s="1"/>
  <c r="L23" i="50"/>
  <c r="M25" i="49"/>
  <c r="N25" i="49"/>
  <c r="O18" i="49"/>
  <c r="N23" i="49"/>
  <c r="N24" i="49" s="1"/>
  <c r="L23" i="48"/>
  <c r="L24" i="48" s="1"/>
  <c r="M18" i="48"/>
  <c r="O18" i="47"/>
  <c r="N23" i="47"/>
  <c r="M21" i="46"/>
  <c r="M22" i="46" s="1"/>
  <c r="M23" i="46" s="1"/>
  <c r="N18" i="46"/>
  <c r="O18" i="45"/>
  <c r="N23" i="45"/>
  <c r="M25" i="45"/>
  <c r="M18" i="44"/>
  <c r="L23" i="44"/>
  <c r="L24" i="44" s="1"/>
  <c r="L25" i="44" s="1"/>
  <c r="K25" i="44"/>
  <c r="V21" i="42"/>
  <c r="W18" i="42"/>
  <c r="N23" i="41"/>
  <c r="O18" i="41"/>
  <c r="K25" i="40"/>
  <c r="M18" i="40"/>
  <c r="L23" i="40"/>
  <c r="P18" i="39"/>
  <c r="O21" i="39"/>
  <c r="L23" i="38"/>
  <c r="M18" i="38"/>
  <c r="K25" i="38"/>
  <c r="O18" i="50" l="1"/>
  <c r="N21" i="50"/>
  <c r="N22" i="50" s="1"/>
  <c r="N23" i="50" s="1"/>
  <c r="O23" i="49"/>
  <c r="P18" i="49"/>
  <c r="M23" i="48"/>
  <c r="M24" i="48" s="1"/>
  <c r="M25" i="48" s="1"/>
  <c r="N18" i="48"/>
  <c r="N25" i="48"/>
  <c r="P18" i="47"/>
  <c r="O23" i="47"/>
  <c r="O18" i="46"/>
  <c r="N21" i="46"/>
  <c r="P18" i="45"/>
  <c r="O23" i="45"/>
  <c r="N18" i="44"/>
  <c r="M23" i="44"/>
  <c r="W21" i="42"/>
  <c r="X18" i="42"/>
  <c r="O23" i="41"/>
  <c r="P18" i="41"/>
  <c r="M23" i="40"/>
  <c r="N18" i="40"/>
  <c r="L19" i="39"/>
  <c r="P21" i="39"/>
  <c r="P22" i="39" s="1"/>
  <c r="Q18" i="39"/>
  <c r="M23" i="38"/>
  <c r="N18" i="38"/>
  <c r="P18" i="50" l="1"/>
  <c r="O21" i="50"/>
  <c r="P23" i="49"/>
  <c r="Q18" i="49"/>
  <c r="O18" i="48"/>
  <c r="N23" i="48"/>
  <c r="N24" i="48" s="1"/>
  <c r="P23" i="47"/>
  <c r="Q18" i="47"/>
  <c r="P18" i="46"/>
  <c r="O21" i="46"/>
  <c r="P23" i="45"/>
  <c r="Q18" i="45"/>
  <c r="N23" i="44"/>
  <c r="O18" i="44"/>
  <c r="Y18" i="42"/>
  <c r="X21" i="42"/>
  <c r="Q18" i="41"/>
  <c r="P23" i="41"/>
  <c r="N23" i="40"/>
  <c r="O18" i="40"/>
  <c r="M19" i="39"/>
  <c r="L22" i="39"/>
  <c r="Q21" i="39"/>
  <c r="R18" i="39"/>
  <c r="N23" i="38"/>
  <c r="O18" i="38"/>
  <c r="P21" i="50" l="1"/>
  <c r="Q18" i="50"/>
  <c r="R18" i="49"/>
  <c r="Q23" i="49"/>
  <c r="O23" i="48"/>
  <c r="P18" i="48"/>
  <c r="Q23" i="47"/>
  <c r="R18" i="47"/>
  <c r="Q18" i="46"/>
  <c r="P21" i="46"/>
  <c r="Q23" i="45"/>
  <c r="R18" i="45"/>
  <c r="P18" i="44"/>
  <c r="O23" i="44"/>
  <c r="Z18" i="42"/>
  <c r="Y21" i="42"/>
  <c r="M21" i="41"/>
  <c r="Q23" i="41"/>
  <c r="Q24" i="41" s="1"/>
  <c r="R18" i="41"/>
  <c r="P18" i="40"/>
  <c r="O23" i="40"/>
  <c r="R21" i="39"/>
  <c r="S18" i="39"/>
  <c r="L23" i="39"/>
  <c r="N19" i="39"/>
  <c r="M22" i="39"/>
  <c r="O23" i="38"/>
  <c r="P18" i="38"/>
  <c r="Q21" i="50" l="1"/>
  <c r="R18" i="50"/>
  <c r="S18" i="49"/>
  <c r="R23" i="49"/>
  <c r="P23" i="48"/>
  <c r="Q18" i="48"/>
  <c r="S18" i="47"/>
  <c r="R23" i="47"/>
  <c r="R24" i="47" s="1"/>
  <c r="N21" i="47"/>
  <c r="Q21" i="46"/>
  <c r="R18" i="46"/>
  <c r="S18" i="45"/>
  <c r="R23" i="45"/>
  <c r="R24" i="45" s="1"/>
  <c r="N21" i="45"/>
  <c r="Q18" i="44"/>
  <c r="P23" i="44"/>
  <c r="Z21" i="42"/>
  <c r="AA18" i="42"/>
  <c r="N21" i="41"/>
  <c r="M24" i="41"/>
  <c r="R23" i="41"/>
  <c r="S18" i="41"/>
  <c r="L21" i="40"/>
  <c r="Q18" i="40"/>
  <c r="P23" i="40"/>
  <c r="P24" i="40" s="1"/>
  <c r="O19" i="39"/>
  <c r="O22" i="39" s="1"/>
  <c r="P23" i="39" s="1"/>
  <c r="N22" i="39"/>
  <c r="T18" i="39"/>
  <c r="S21" i="39"/>
  <c r="M23" i="39"/>
  <c r="P23" i="38"/>
  <c r="P24" i="38" s="1"/>
  <c r="Q18" i="38"/>
  <c r="L21" i="38"/>
  <c r="S18" i="50" l="1"/>
  <c r="R21" i="50"/>
  <c r="S23" i="49"/>
  <c r="S24" i="49" s="1"/>
  <c r="O21" i="49"/>
  <c r="T18" i="49"/>
  <c r="R18" i="48"/>
  <c r="Q23" i="48"/>
  <c r="O21" i="47"/>
  <c r="N24" i="47"/>
  <c r="N25" i="47" s="1"/>
  <c r="T18" i="47"/>
  <c r="S23" i="47"/>
  <c r="R21" i="46"/>
  <c r="R22" i="46" s="1"/>
  <c r="S18" i="46"/>
  <c r="O21" i="45"/>
  <c r="N24" i="45"/>
  <c r="T18" i="45"/>
  <c r="S23" i="45"/>
  <c r="M21" i="44"/>
  <c r="Q23" i="44"/>
  <c r="Q24" i="44" s="1"/>
  <c r="R18" i="44"/>
  <c r="R19" i="42"/>
  <c r="AB18" i="42"/>
  <c r="AA21" i="42"/>
  <c r="AA22" i="42" s="1"/>
  <c r="M25" i="41"/>
  <c r="O21" i="41"/>
  <c r="N24" i="41"/>
  <c r="N25" i="41" s="1"/>
  <c r="T18" i="41"/>
  <c r="S23" i="41"/>
  <c r="M21" i="40"/>
  <c r="L24" i="40"/>
  <c r="L25" i="40" s="1"/>
  <c r="Q23" i="40"/>
  <c r="R18" i="40"/>
  <c r="O23" i="39"/>
  <c r="N23" i="39"/>
  <c r="T21" i="39"/>
  <c r="U18" i="39"/>
  <c r="M21" i="38"/>
  <c r="L24" i="38"/>
  <c r="Q23" i="38"/>
  <c r="R18" i="38"/>
  <c r="T18" i="50" l="1"/>
  <c r="S21" i="50"/>
  <c r="S22" i="50" s="1"/>
  <c r="T23" i="49"/>
  <c r="U18" i="49"/>
  <c r="O24" i="49"/>
  <c r="O25" i="49" s="1"/>
  <c r="P21" i="49"/>
  <c r="S18" i="48"/>
  <c r="R23" i="48"/>
  <c r="T23" i="47"/>
  <c r="U18" i="47"/>
  <c r="P21" i="47"/>
  <c r="O24" i="47"/>
  <c r="O25" i="47" s="1"/>
  <c r="N22" i="46"/>
  <c r="T18" i="46"/>
  <c r="S21" i="46"/>
  <c r="T23" i="45"/>
  <c r="U18" i="45"/>
  <c r="N25" i="45"/>
  <c r="P21" i="45"/>
  <c r="O24" i="45"/>
  <c r="O25" i="45" s="1"/>
  <c r="R23" i="44"/>
  <c r="S18" i="44"/>
  <c r="N21" i="44"/>
  <c r="M24" i="44"/>
  <c r="M25" i="44" s="1"/>
  <c r="AC18" i="42"/>
  <c r="AB21" i="42"/>
  <c r="S19" i="42"/>
  <c r="R22" i="42"/>
  <c r="P21" i="41"/>
  <c r="P24" i="41" s="1"/>
  <c r="O24" i="41"/>
  <c r="U18" i="41"/>
  <c r="T23" i="41"/>
  <c r="R23" i="40"/>
  <c r="S18" i="40"/>
  <c r="N21" i="40"/>
  <c r="M24" i="40"/>
  <c r="U21" i="39"/>
  <c r="V18" i="39"/>
  <c r="R23" i="38"/>
  <c r="S18" i="38"/>
  <c r="L25" i="38"/>
  <c r="N21" i="38"/>
  <c r="M24" i="38"/>
  <c r="M25" i="38" s="1"/>
  <c r="O22" i="50" l="1"/>
  <c r="O23" i="50" s="1"/>
  <c r="T21" i="50"/>
  <c r="U18" i="50"/>
  <c r="V18" i="49"/>
  <c r="U23" i="49"/>
  <c r="P24" i="49"/>
  <c r="P25" i="49" s="1"/>
  <c r="Q21" i="49"/>
  <c r="O21" i="48"/>
  <c r="S23" i="48"/>
  <c r="S24" i="48" s="1"/>
  <c r="T18" i="48"/>
  <c r="U23" i="47"/>
  <c r="V18" i="47"/>
  <c r="Q21" i="47"/>
  <c r="Q24" i="47" s="1"/>
  <c r="Q25" i="47" s="1"/>
  <c r="P24" i="47"/>
  <c r="N23" i="46"/>
  <c r="U18" i="46"/>
  <c r="T21" i="46"/>
  <c r="O22" i="46"/>
  <c r="O23" i="46" s="1"/>
  <c r="U23" i="45"/>
  <c r="V18" i="45"/>
  <c r="Q21" i="45"/>
  <c r="Q24" i="45" s="1"/>
  <c r="P24" i="45"/>
  <c r="P25" i="45" s="1"/>
  <c r="O21" i="44"/>
  <c r="N24" i="44"/>
  <c r="N25" i="44" s="1"/>
  <c r="T18" i="44"/>
  <c r="S23" i="44"/>
  <c r="T19" i="42"/>
  <c r="S22" i="42"/>
  <c r="R23" i="42"/>
  <c r="S23" i="42"/>
  <c r="AD18" i="42"/>
  <c r="AC21" i="42"/>
  <c r="O25" i="41"/>
  <c r="Q25" i="41"/>
  <c r="P25" i="41"/>
  <c r="V18" i="41"/>
  <c r="U23" i="41"/>
  <c r="T18" i="40"/>
  <c r="S23" i="40"/>
  <c r="O21" i="40"/>
  <c r="O24" i="40" s="1"/>
  <c r="O25" i="40" s="1"/>
  <c r="N24" i="40"/>
  <c r="N25" i="40" s="1"/>
  <c r="M25" i="40"/>
  <c r="V21" i="39"/>
  <c r="W18" i="39"/>
  <c r="S23" i="38"/>
  <c r="T18" i="38"/>
  <c r="O21" i="38"/>
  <c r="O24" i="38" s="1"/>
  <c r="N24" i="38"/>
  <c r="N25" i="38" s="1"/>
  <c r="V18" i="50" l="1"/>
  <c r="U21" i="50"/>
  <c r="P22" i="50"/>
  <c r="Q24" i="49"/>
  <c r="Q25" i="49" s="1"/>
  <c r="R21" i="49"/>
  <c r="R24" i="49" s="1"/>
  <c r="R25" i="49" s="1"/>
  <c r="S25" i="49"/>
  <c r="W18" i="49"/>
  <c r="V23" i="49"/>
  <c r="T23" i="48"/>
  <c r="U18" i="48"/>
  <c r="P21" i="48"/>
  <c r="O24" i="48"/>
  <c r="O25" i="48" s="1"/>
  <c r="W18" i="47"/>
  <c r="V23" i="47"/>
  <c r="P25" i="47"/>
  <c r="R25" i="47"/>
  <c r="U21" i="46"/>
  <c r="V18" i="46"/>
  <c r="Q22" i="46"/>
  <c r="P22" i="46"/>
  <c r="Q25" i="45"/>
  <c r="W18" i="45"/>
  <c r="V23" i="45"/>
  <c r="R25" i="45"/>
  <c r="U18" i="44"/>
  <c r="T23" i="44"/>
  <c r="Q25" i="44"/>
  <c r="P21" i="44"/>
  <c r="P24" i="44" s="1"/>
  <c r="P25" i="44" s="1"/>
  <c r="O24" i="44"/>
  <c r="O25" i="44" s="1"/>
  <c r="AD21" i="42"/>
  <c r="AE18" i="42"/>
  <c r="U19" i="42"/>
  <c r="T22" i="42"/>
  <c r="V23" i="41"/>
  <c r="W18" i="41"/>
  <c r="P25" i="40"/>
  <c r="U18" i="40"/>
  <c r="T23" i="40"/>
  <c r="X18" i="39"/>
  <c r="W21" i="39"/>
  <c r="P25" i="38"/>
  <c r="O25" i="38"/>
  <c r="T23" i="38"/>
  <c r="U18" i="38"/>
  <c r="P23" i="50" l="1"/>
  <c r="R22" i="50"/>
  <c r="Q22" i="50"/>
  <c r="Q23" i="50" s="1"/>
  <c r="W18" i="50"/>
  <c r="V21" i="50"/>
  <c r="W23" i="49"/>
  <c r="X18" i="49"/>
  <c r="Q21" i="48"/>
  <c r="P24" i="48"/>
  <c r="P25" i="48" s="1"/>
  <c r="V18" i="48"/>
  <c r="U23" i="48"/>
  <c r="Q25" i="48"/>
  <c r="S25" i="48"/>
  <c r="X18" i="47"/>
  <c r="W23" i="47"/>
  <c r="Q23" i="46"/>
  <c r="W18" i="46"/>
  <c r="V21" i="46"/>
  <c r="P23" i="46"/>
  <c r="R23" i="46"/>
  <c r="X18" i="45"/>
  <c r="W23" i="45"/>
  <c r="U23" i="44"/>
  <c r="V18" i="44"/>
  <c r="AE21" i="42"/>
  <c r="AF18" i="42"/>
  <c r="U23" i="42"/>
  <c r="T23" i="42"/>
  <c r="V19" i="42"/>
  <c r="U22" i="42"/>
  <c r="W23" i="41"/>
  <c r="X18" i="41"/>
  <c r="U23" i="40"/>
  <c r="V18" i="40"/>
  <c r="X21" i="39"/>
  <c r="Y18" i="39"/>
  <c r="U23" i="38"/>
  <c r="V18" i="38"/>
  <c r="R23" i="50" l="1"/>
  <c r="S23" i="50"/>
  <c r="X18" i="50"/>
  <c r="W21" i="50"/>
  <c r="X23" i="49"/>
  <c r="Y18" i="49"/>
  <c r="W18" i="48"/>
  <c r="V23" i="48"/>
  <c r="R21" i="48"/>
  <c r="R24" i="48" s="1"/>
  <c r="R25" i="48" s="1"/>
  <c r="Q24" i="48"/>
  <c r="X23" i="47"/>
  <c r="Y18" i="47"/>
  <c r="X18" i="46"/>
  <c r="W21" i="46"/>
  <c r="Y18" i="45"/>
  <c r="X23" i="45"/>
  <c r="V23" i="44"/>
  <c r="W18" i="44"/>
  <c r="AG18" i="42"/>
  <c r="AF21" i="42"/>
  <c r="W19" i="42"/>
  <c r="V22" i="42"/>
  <c r="Y18" i="41"/>
  <c r="X23" i="41"/>
  <c r="V23" i="40"/>
  <c r="W18" i="40"/>
  <c r="Z18" i="39"/>
  <c r="Y21" i="39"/>
  <c r="V23" i="38"/>
  <c r="W18" i="38"/>
  <c r="X21" i="50" l="1"/>
  <c r="Y18" i="50"/>
  <c r="Z18" i="49"/>
  <c r="Y23" i="49"/>
  <c r="X18" i="48"/>
  <c r="W23" i="48"/>
  <c r="Y23" i="47"/>
  <c r="Z18" i="47"/>
  <c r="Y18" i="46"/>
  <c r="X21" i="46"/>
  <c r="Y23" i="45"/>
  <c r="Z18" i="45"/>
  <c r="X18" i="44"/>
  <c r="W23" i="44"/>
  <c r="V23" i="42"/>
  <c r="X19" i="42"/>
  <c r="W22" i="42"/>
  <c r="W23" i="42" s="1"/>
  <c r="AH18" i="42"/>
  <c r="AG21" i="42"/>
  <c r="Y23" i="41"/>
  <c r="Z18" i="41"/>
  <c r="X18" i="40"/>
  <c r="W23" i="40"/>
  <c r="Z21" i="39"/>
  <c r="Z22" i="39" s="1"/>
  <c r="Q19" i="39"/>
  <c r="AA18" i="39"/>
  <c r="W23" i="38"/>
  <c r="X18" i="38"/>
  <c r="Y21" i="50" l="1"/>
  <c r="Z18" i="50"/>
  <c r="AA18" i="49"/>
  <c r="Z23" i="49"/>
  <c r="X23" i="48"/>
  <c r="Y18" i="48"/>
  <c r="AA18" i="47"/>
  <c r="Z23" i="47"/>
  <c r="Y21" i="46"/>
  <c r="Z18" i="46"/>
  <c r="AA18" i="45"/>
  <c r="Z23" i="45"/>
  <c r="Y18" i="44"/>
  <c r="X23" i="44"/>
  <c r="AH21" i="42"/>
  <c r="AI18" i="42"/>
  <c r="Y19" i="42"/>
  <c r="X22" i="42"/>
  <c r="X23" i="42" s="1"/>
  <c r="Z23" i="41"/>
  <c r="AA18" i="41"/>
  <c r="Y18" i="40"/>
  <c r="X23" i="40"/>
  <c r="AB18" i="39"/>
  <c r="AA21" i="39"/>
  <c r="R19" i="39"/>
  <c r="Q22" i="39"/>
  <c r="X23" i="38"/>
  <c r="Y18" i="38"/>
  <c r="AA18" i="50" l="1"/>
  <c r="Z21" i="50"/>
  <c r="AA23" i="49"/>
  <c r="AB18" i="49"/>
  <c r="Y23" i="48"/>
  <c r="Z18" i="48"/>
  <c r="AB18" i="47"/>
  <c r="AA23" i="47"/>
  <c r="Z21" i="46"/>
  <c r="AA18" i="46"/>
  <c r="AB18" i="45"/>
  <c r="AA23" i="45"/>
  <c r="Z18" i="44"/>
  <c r="Y23" i="44"/>
  <c r="AJ18" i="42"/>
  <c r="AI21" i="42"/>
  <c r="Z19" i="42"/>
  <c r="Z22" i="42" s="1"/>
  <c r="Y22" i="42"/>
  <c r="Y23" i="42" s="1"/>
  <c r="R21" i="41"/>
  <c r="AB18" i="41"/>
  <c r="AA23" i="41"/>
  <c r="AA24" i="41" s="1"/>
  <c r="Y23" i="40"/>
  <c r="Z18" i="40"/>
  <c r="S19" i="39"/>
  <c r="R22" i="39"/>
  <c r="R23" i="39"/>
  <c r="Q23" i="39"/>
  <c r="AB21" i="39"/>
  <c r="AC18" i="39"/>
  <c r="Y23" i="38"/>
  <c r="Z18" i="38"/>
  <c r="AB18" i="50" l="1"/>
  <c r="AA21" i="50"/>
  <c r="AB23" i="49"/>
  <c r="AC18" i="49"/>
  <c r="Z23" i="48"/>
  <c r="AA18" i="48"/>
  <c r="AB23" i="47"/>
  <c r="AB24" i="47" s="1"/>
  <c r="S21" i="47"/>
  <c r="AC18" i="47"/>
  <c r="AB18" i="46"/>
  <c r="AA21" i="46"/>
  <c r="S21" i="45"/>
  <c r="AB23" i="45"/>
  <c r="AB24" i="45" s="1"/>
  <c r="AC18" i="45"/>
  <c r="Z23" i="44"/>
  <c r="AA18" i="44"/>
  <c r="Z23" i="42"/>
  <c r="AA23" i="42"/>
  <c r="AK18" i="42"/>
  <c r="AJ21" i="42"/>
  <c r="AC18" i="41"/>
  <c r="AB23" i="41"/>
  <c r="S21" i="41"/>
  <c r="R24" i="41"/>
  <c r="R25" i="41" s="1"/>
  <c r="Z23" i="40"/>
  <c r="Z24" i="40" s="1"/>
  <c r="Q21" i="40"/>
  <c r="AA18" i="40"/>
  <c r="AC21" i="39"/>
  <c r="AD18" i="39"/>
  <c r="T19" i="39"/>
  <c r="S22" i="39"/>
  <c r="S23" i="39" s="1"/>
  <c r="Z23" i="38"/>
  <c r="Z24" i="38" s="1"/>
  <c r="Q21" i="38"/>
  <c r="AA18" i="38"/>
  <c r="AB21" i="50" l="1"/>
  <c r="AC18" i="50"/>
  <c r="AD18" i="49"/>
  <c r="AC23" i="49"/>
  <c r="AC24" i="49" s="1"/>
  <c r="T21" i="49"/>
  <c r="AA23" i="48"/>
  <c r="AB18" i="48"/>
  <c r="AC23" i="47"/>
  <c r="AD18" i="47"/>
  <c r="T21" i="47"/>
  <c r="S24" i="47"/>
  <c r="S25" i="47" s="1"/>
  <c r="AC18" i="46"/>
  <c r="AB21" i="46"/>
  <c r="AB22" i="46" s="1"/>
  <c r="AC23" i="45"/>
  <c r="AD18" i="45"/>
  <c r="T21" i="45"/>
  <c r="S24" i="45"/>
  <c r="S25" i="45" s="1"/>
  <c r="R21" i="44"/>
  <c r="AB18" i="44"/>
  <c r="AA23" i="44"/>
  <c r="AA24" i="44" s="1"/>
  <c r="AL18" i="42"/>
  <c r="AK21" i="42"/>
  <c r="AK22" i="42" s="1"/>
  <c r="AL19" i="42"/>
  <c r="AM19" i="42" s="1"/>
  <c r="AN19" i="42" s="1"/>
  <c r="AO19" i="42" s="1"/>
  <c r="AP19" i="42" s="1"/>
  <c r="AQ19" i="42" s="1"/>
  <c r="AR19" i="42" s="1"/>
  <c r="AS19" i="42" s="1"/>
  <c r="AB19" i="42"/>
  <c r="AD18" i="41"/>
  <c r="AC23" i="41"/>
  <c r="T21" i="41"/>
  <c r="S24" i="41"/>
  <c r="S25" i="41" s="1"/>
  <c r="AB18" i="40"/>
  <c r="AA23" i="40"/>
  <c r="R21" i="40"/>
  <c r="Q24" i="40"/>
  <c r="Q25" i="40" s="1"/>
  <c r="AD21" i="39"/>
  <c r="AE18" i="39"/>
  <c r="U19" i="39"/>
  <c r="T22" i="39"/>
  <c r="T23" i="39" s="1"/>
  <c r="AA23" i="38"/>
  <c r="AB18" i="38"/>
  <c r="R21" i="38"/>
  <c r="Q24" i="38"/>
  <c r="Q25" i="38" s="1"/>
  <c r="AD18" i="50" l="1"/>
  <c r="AC21" i="50"/>
  <c r="AC22" i="50" s="1"/>
  <c r="T24" i="49"/>
  <c r="T25" i="49" s="1"/>
  <c r="U21" i="49"/>
  <c r="AE18" i="49"/>
  <c r="AD23" i="49"/>
  <c r="AC18" i="48"/>
  <c r="AB23" i="48"/>
  <c r="U21" i="47"/>
  <c r="T24" i="47"/>
  <c r="AE18" i="47"/>
  <c r="AD23" i="47"/>
  <c r="S22" i="46"/>
  <c r="S23" i="46" s="1"/>
  <c r="AC21" i="46"/>
  <c r="AD18" i="46"/>
  <c r="U21" i="45"/>
  <c r="T24" i="45"/>
  <c r="T25" i="45" s="1"/>
  <c r="AE18" i="45"/>
  <c r="AD23" i="45"/>
  <c r="S21" i="44"/>
  <c r="R24" i="44"/>
  <c r="R25" i="44" s="1"/>
  <c r="AC18" i="44"/>
  <c r="AB23" i="44"/>
  <c r="AL21" i="42"/>
  <c r="AL22" i="42" s="1"/>
  <c r="AM18" i="42"/>
  <c r="AC19" i="42"/>
  <c r="AB22" i="42"/>
  <c r="AB23" i="42" s="1"/>
  <c r="AD23" i="41"/>
  <c r="AE18" i="41"/>
  <c r="U21" i="41"/>
  <c r="T24" i="41"/>
  <c r="T25" i="41" s="1"/>
  <c r="S21" i="40"/>
  <c r="R24" i="40"/>
  <c r="R25" i="40" s="1"/>
  <c r="AC18" i="40"/>
  <c r="AB23" i="40"/>
  <c r="V19" i="39"/>
  <c r="U22" i="39"/>
  <c r="U23" i="39" s="1"/>
  <c r="AF18" i="39"/>
  <c r="AE21" i="39"/>
  <c r="S21" i="38"/>
  <c r="R24" i="38"/>
  <c r="R25" i="38" s="1"/>
  <c r="AB23" i="38"/>
  <c r="AC18" i="38"/>
  <c r="AE18" i="50" l="1"/>
  <c r="AD21" i="50"/>
  <c r="T22" i="50"/>
  <c r="T23" i="50" s="1"/>
  <c r="V21" i="49"/>
  <c r="U24" i="49"/>
  <c r="AE23" i="49"/>
  <c r="AF18" i="49"/>
  <c r="T21" i="48"/>
  <c r="AD18" i="48"/>
  <c r="AC23" i="48"/>
  <c r="AC24" i="48" s="1"/>
  <c r="AF18" i="47"/>
  <c r="AE23" i="47"/>
  <c r="T25" i="47"/>
  <c r="V21" i="47"/>
  <c r="U24" i="47"/>
  <c r="U25" i="47" s="1"/>
  <c r="T22" i="46"/>
  <c r="T23" i="46" s="1"/>
  <c r="AE18" i="46"/>
  <c r="AD21" i="46"/>
  <c r="AF18" i="45"/>
  <c r="AE23" i="45"/>
  <c r="V21" i="45"/>
  <c r="U24" i="45"/>
  <c r="AC23" i="44"/>
  <c r="AD18" i="44"/>
  <c r="T21" i="44"/>
  <c r="S24" i="44"/>
  <c r="S25" i="44" s="1"/>
  <c r="AD19" i="42"/>
  <c r="AC22" i="42"/>
  <c r="AC23" i="42" s="1"/>
  <c r="AM21" i="42"/>
  <c r="AM22" i="42" s="1"/>
  <c r="AN18" i="42"/>
  <c r="AE23" i="41"/>
  <c r="AF18" i="41"/>
  <c r="V21" i="41"/>
  <c r="U24" i="41"/>
  <c r="U25" i="41" s="1"/>
  <c r="AC23" i="40"/>
  <c r="AD18" i="40"/>
  <c r="T21" i="40"/>
  <c r="S24" i="40"/>
  <c r="AF21" i="39"/>
  <c r="AG18" i="39"/>
  <c r="W19" i="39"/>
  <c r="V22" i="39"/>
  <c r="V23" i="39" s="1"/>
  <c r="AC23" i="38"/>
  <c r="AD18" i="38"/>
  <c r="T21" i="38"/>
  <c r="S24" i="38"/>
  <c r="S25" i="38" s="1"/>
  <c r="AF18" i="50" l="1"/>
  <c r="AE21" i="50"/>
  <c r="U22" i="50"/>
  <c r="U23" i="50" s="1"/>
  <c r="U25" i="49"/>
  <c r="AF23" i="49"/>
  <c r="AG18" i="49"/>
  <c r="V24" i="49"/>
  <c r="V25" i="49" s="1"/>
  <c r="W21" i="49"/>
  <c r="AD23" i="48"/>
  <c r="AE18" i="48"/>
  <c r="U21" i="48"/>
  <c r="T24" i="48"/>
  <c r="T25" i="48" s="1"/>
  <c r="U25" i="48"/>
  <c r="W21" i="47"/>
  <c r="V24" i="47"/>
  <c r="AF23" i="47"/>
  <c r="AG18" i="47"/>
  <c r="AF18" i="46"/>
  <c r="AE21" i="46"/>
  <c r="U22" i="46"/>
  <c r="AF23" i="45"/>
  <c r="AG18" i="45"/>
  <c r="W21" i="45"/>
  <c r="V24" i="45"/>
  <c r="V25" i="45" s="1"/>
  <c r="U25" i="45"/>
  <c r="U21" i="44"/>
  <c r="T24" i="44"/>
  <c r="T25" i="44" s="1"/>
  <c r="AD23" i="44"/>
  <c r="AE18" i="44"/>
  <c r="AO18" i="42"/>
  <c r="AN21" i="42"/>
  <c r="AN22" i="42" s="1"/>
  <c r="AE19" i="42"/>
  <c r="AD22" i="42"/>
  <c r="AG18" i="41"/>
  <c r="AF23" i="41"/>
  <c r="W21" i="41"/>
  <c r="V24" i="41"/>
  <c r="V25" i="41" s="1"/>
  <c r="U21" i="40"/>
  <c r="T24" i="40"/>
  <c r="T25" i="40" s="1"/>
  <c r="AD23" i="40"/>
  <c r="AE18" i="40"/>
  <c r="S25" i="40"/>
  <c r="AH18" i="39"/>
  <c r="AG21" i="39"/>
  <c r="X19" i="39"/>
  <c r="W22" i="39"/>
  <c r="W23" i="39" s="1"/>
  <c r="AD23" i="38"/>
  <c r="AE18" i="38"/>
  <c r="U21" i="38"/>
  <c r="T24" i="38"/>
  <c r="V22" i="50" l="1"/>
  <c r="V23" i="50" s="1"/>
  <c r="AF21" i="50"/>
  <c r="AG18" i="50"/>
  <c r="AH18" i="49"/>
  <c r="AG23" i="49"/>
  <c r="W24" i="49"/>
  <c r="W25" i="49" s="1"/>
  <c r="X21" i="49"/>
  <c r="V21" i="48"/>
  <c r="U24" i="48"/>
  <c r="AE23" i="48"/>
  <c r="AF18" i="48"/>
  <c r="X21" i="47"/>
  <c r="W24" i="47"/>
  <c r="W25" i="47" s="1"/>
  <c r="AG23" i="47"/>
  <c r="AH18" i="47"/>
  <c r="V25" i="47"/>
  <c r="V22" i="46"/>
  <c r="V23" i="46" s="1"/>
  <c r="U23" i="46"/>
  <c r="AG18" i="46"/>
  <c r="AF21" i="46"/>
  <c r="AG23" i="45"/>
  <c r="AH18" i="45"/>
  <c r="X21" i="45"/>
  <c r="W24" i="45"/>
  <c r="V21" i="44"/>
  <c r="U24" i="44"/>
  <c r="AF18" i="44"/>
  <c r="AE23" i="44"/>
  <c r="AF19" i="42"/>
  <c r="AE22" i="42"/>
  <c r="AE23" i="42" s="1"/>
  <c r="AD23" i="42"/>
  <c r="AP18" i="42"/>
  <c r="AO21" i="42"/>
  <c r="AO22" i="42" s="1"/>
  <c r="X21" i="41"/>
  <c r="W24" i="41"/>
  <c r="W25" i="41" s="1"/>
  <c r="AG23" i="41"/>
  <c r="AH18" i="41"/>
  <c r="AF18" i="40"/>
  <c r="AE23" i="40"/>
  <c r="V21" i="40"/>
  <c r="U24" i="40"/>
  <c r="Y19" i="39"/>
  <c r="Y22" i="39" s="1"/>
  <c r="X22" i="39"/>
  <c r="X23" i="39" s="1"/>
  <c r="AH21" i="39"/>
  <c r="AI18" i="39"/>
  <c r="V21" i="38"/>
  <c r="U24" i="38"/>
  <c r="U25" i="38" s="1"/>
  <c r="T25" i="38"/>
  <c r="AE23" i="38"/>
  <c r="AF18" i="38"/>
  <c r="AG21" i="50" l="1"/>
  <c r="AH18" i="50"/>
  <c r="W22" i="50"/>
  <c r="X24" i="49"/>
  <c r="X25" i="49" s="1"/>
  <c r="Y21" i="49"/>
  <c r="AI18" i="49"/>
  <c r="AH23" i="49"/>
  <c r="AF23" i="48"/>
  <c r="AG18" i="48"/>
  <c r="W21" i="48"/>
  <c r="V24" i="48"/>
  <c r="V25" i="48" s="1"/>
  <c r="W25" i="48"/>
  <c r="AI18" i="47"/>
  <c r="AH23" i="47"/>
  <c r="Y21" i="47"/>
  <c r="X24" i="47"/>
  <c r="X25" i="47" s="1"/>
  <c r="AG21" i="46"/>
  <c r="AH18" i="46"/>
  <c r="W22" i="46"/>
  <c r="W23" i="46" s="1"/>
  <c r="AI18" i="45"/>
  <c r="AH23" i="45"/>
  <c r="Y21" i="45"/>
  <c r="X24" i="45"/>
  <c r="X25" i="45" s="1"/>
  <c r="W25" i="45"/>
  <c r="U25" i="44"/>
  <c r="AG18" i="44"/>
  <c r="AF23" i="44"/>
  <c r="W21" i="44"/>
  <c r="V24" i="44"/>
  <c r="V25" i="44" s="1"/>
  <c r="AG19" i="42"/>
  <c r="AF22" i="42"/>
  <c r="AP21" i="42"/>
  <c r="AP22" i="42" s="1"/>
  <c r="AQ18" i="42"/>
  <c r="Y21" i="41"/>
  <c r="X24" i="41"/>
  <c r="X25" i="41" s="1"/>
  <c r="AH23" i="41"/>
  <c r="AI18" i="41"/>
  <c r="AG18" i="40"/>
  <c r="AF23" i="40"/>
  <c r="W21" i="40"/>
  <c r="V24" i="40"/>
  <c r="V25" i="40" s="1"/>
  <c r="U25" i="40"/>
  <c r="Y23" i="39"/>
  <c r="Z23" i="39"/>
  <c r="AJ18" i="39"/>
  <c r="AI21" i="39"/>
  <c r="AF23" i="38"/>
  <c r="AG18" i="38"/>
  <c r="W21" i="38"/>
  <c r="V24" i="38"/>
  <c r="V25" i="38" s="1"/>
  <c r="W23" i="50" l="1"/>
  <c r="AI18" i="50"/>
  <c r="AH21" i="50"/>
  <c r="X22" i="50"/>
  <c r="X23" i="50" s="1"/>
  <c r="AI23" i="49"/>
  <c r="AJ18" i="49"/>
  <c r="Z21" i="49"/>
  <c r="Y24" i="49"/>
  <c r="Y25" i="49" s="1"/>
  <c r="AH18" i="48"/>
  <c r="AG23" i="48"/>
  <c r="X21" i="48"/>
  <c r="W24" i="48"/>
  <c r="Z21" i="47"/>
  <c r="Y24" i="47"/>
  <c r="Y25" i="47" s="1"/>
  <c r="AJ18" i="47"/>
  <c r="AI23" i="47"/>
  <c r="AH21" i="46"/>
  <c r="AI18" i="46"/>
  <c r="X22" i="46"/>
  <c r="X23" i="46" s="1"/>
  <c r="Z21" i="45"/>
  <c r="Y24" i="45"/>
  <c r="Y25" i="45" s="1"/>
  <c r="AJ18" i="45"/>
  <c r="AI23" i="45"/>
  <c r="X21" i="44"/>
  <c r="W24" i="44"/>
  <c r="W25" i="44" s="1"/>
  <c r="AH18" i="44"/>
  <c r="AG23" i="44"/>
  <c r="AF23" i="42"/>
  <c r="AR18" i="42"/>
  <c r="AQ21" i="42"/>
  <c r="AQ22" i="42" s="1"/>
  <c r="AH19" i="42"/>
  <c r="AG22" i="42"/>
  <c r="Z21" i="41"/>
  <c r="Z24" i="41" s="1"/>
  <c r="Y24" i="41"/>
  <c r="Y25" i="41" s="1"/>
  <c r="AI23" i="41"/>
  <c r="AJ18" i="41"/>
  <c r="X21" i="40"/>
  <c r="W24" i="40"/>
  <c r="W25" i="40" s="1"/>
  <c r="AG23" i="40"/>
  <c r="AH18" i="40"/>
  <c r="AJ21" i="39"/>
  <c r="AJ22" i="39" s="1"/>
  <c r="AA19" i="39"/>
  <c r="AK18" i="39"/>
  <c r="X21" i="38"/>
  <c r="W24" i="38"/>
  <c r="W25" i="38" s="1"/>
  <c r="AG23" i="38"/>
  <c r="AH18" i="38"/>
  <c r="AJ18" i="50" l="1"/>
  <c r="AI21" i="50"/>
  <c r="Y22" i="50"/>
  <c r="Y23" i="50" s="1"/>
  <c r="AJ23" i="49"/>
  <c r="AK18" i="49"/>
  <c r="Z24" i="49"/>
  <c r="Z25" i="49" s="1"/>
  <c r="AA21" i="49"/>
  <c r="Y21" i="48"/>
  <c r="X24" i="48"/>
  <c r="X25" i="48" s="1"/>
  <c r="AI18" i="48"/>
  <c r="AH23" i="48"/>
  <c r="Y25" i="48"/>
  <c r="AJ23" i="47"/>
  <c r="AK18" i="47"/>
  <c r="AA21" i="47"/>
  <c r="AA24" i="47" s="1"/>
  <c r="Z24" i="47"/>
  <c r="Z25" i="47" s="1"/>
  <c r="Y22" i="46"/>
  <c r="Y23" i="46" s="1"/>
  <c r="AJ18" i="46"/>
  <c r="AI21" i="46"/>
  <c r="AJ23" i="45"/>
  <c r="AK18" i="45"/>
  <c r="AA21" i="45"/>
  <c r="AA24" i="45" s="1"/>
  <c r="Z24" i="45"/>
  <c r="Z25" i="45" s="1"/>
  <c r="AH23" i="44"/>
  <c r="AI18" i="44"/>
  <c r="Y21" i="44"/>
  <c r="X24" i="44"/>
  <c r="X25" i="44" s="1"/>
  <c r="AS18" i="42"/>
  <c r="AS21" i="42" s="1"/>
  <c r="AS22" i="42" s="1"/>
  <c r="AR21" i="42"/>
  <c r="AR22" i="42" s="1"/>
  <c r="AG23" i="42"/>
  <c r="AI19" i="42"/>
  <c r="AH22" i="42"/>
  <c r="Z25" i="41"/>
  <c r="AA25" i="41"/>
  <c r="AK18" i="41"/>
  <c r="AJ23" i="41"/>
  <c r="Y21" i="40"/>
  <c r="Y24" i="40" s="1"/>
  <c r="X24" i="40"/>
  <c r="X25" i="40" s="1"/>
  <c r="AH23" i="40"/>
  <c r="AI18" i="40"/>
  <c r="AB19" i="39"/>
  <c r="AA22" i="39"/>
  <c r="AA23" i="39" s="1"/>
  <c r="AK21" i="39"/>
  <c r="AL18" i="39"/>
  <c r="AI18" i="38"/>
  <c r="AH23" i="38"/>
  <c r="Y21" i="38"/>
  <c r="Y24" i="38" s="1"/>
  <c r="X24" i="38"/>
  <c r="X25" i="38" s="1"/>
  <c r="Z22" i="50" l="1"/>
  <c r="Z23" i="50" s="1"/>
  <c r="AJ21" i="50"/>
  <c r="AK18" i="50"/>
  <c r="AA24" i="49"/>
  <c r="AA25" i="49" s="1"/>
  <c r="AB21" i="49"/>
  <c r="AB24" i="49" s="1"/>
  <c r="AL18" i="49"/>
  <c r="AK23" i="49"/>
  <c r="Z21" i="48"/>
  <c r="Y24" i="48"/>
  <c r="AI23" i="48"/>
  <c r="AJ18" i="48"/>
  <c r="AA25" i="47"/>
  <c r="AB25" i="47"/>
  <c r="AK23" i="47"/>
  <c r="AM21" i="47"/>
  <c r="AN21" i="47" s="1"/>
  <c r="AO21" i="47" s="1"/>
  <c r="AP21" i="47" s="1"/>
  <c r="AQ21" i="47" s="1"/>
  <c r="AR21" i="47" s="1"/>
  <c r="AS21" i="47" s="1"/>
  <c r="AT21" i="47" s="1"/>
  <c r="AT24" i="47" s="1"/>
  <c r="AL18" i="47"/>
  <c r="AK18" i="46"/>
  <c r="AJ21" i="46"/>
  <c r="AA22" i="46"/>
  <c r="Z22" i="46"/>
  <c r="Z23" i="46" s="1"/>
  <c r="AK23" i="45"/>
  <c r="AM21" i="45"/>
  <c r="AN21" i="45" s="1"/>
  <c r="AO21" i="45" s="1"/>
  <c r="AP21" i="45" s="1"/>
  <c r="AQ21" i="45" s="1"/>
  <c r="AR21" i="45" s="1"/>
  <c r="AS21" i="45" s="1"/>
  <c r="AT21" i="45" s="1"/>
  <c r="AT24" i="45" s="1"/>
  <c r="AL18" i="45"/>
  <c r="AA25" i="45"/>
  <c r="AB25" i="45"/>
  <c r="Z21" i="44"/>
  <c r="Z24" i="44" s="1"/>
  <c r="Y24" i="44"/>
  <c r="Y25" i="44" s="1"/>
  <c r="AJ18" i="44"/>
  <c r="AI23" i="44"/>
  <c r="AH23" i="42"/>
  <c r="AJ19" i="42"/>
  <c r="AJ22" i="42" s="1"/>
  <c r="AI22" i="42"/>
  <c r="AN23" i="42" s="1"/>
  <c r="E12" i="42"/>
  <c r="E14" i="42" s="1"/>
  <c r="AO23" i="42"/>
  <c r="AB21" i="41"/>
  <c r="AK23" i="41"/>
  <c r="AK24" i="41" s="1"/>
  <c r="AL21" i="41"/>
  <c r="AM21" i="41" s="1"/>
  <c r="AN21" i="41" s="1"/>
  <c r="AO21" i="41" s="1"/>
  <c r="AP21" i="41" s="1"/>
  <c r="AQ21" i="41" s="1"/>
  <c r="AR21" i="41" s="1"/>
  <c r="AS21" i="41" s="1"/>
  <c r="AL18" i="41"/>
  <c r="Y25" i="40"/>
  <c r="Z25" i="40"/>
  <c r="AJ18" i="40"/>
  <c r="AI23" i="40"/>
  <c r="AL21" i="39"/>
  <c r="AM18" i="39"/>
  <c r="AC19" i="39"/>
  <c r="AB22" i="39"/>
  <c r="AI23" i="38"/>
  <c r="AJ18" i="38"/>
  <c r="Y25" i="38"/>
  <c r="Z25" i="38"/>
  <c r="AL18" i="50" l="1"/>
  <c r="AK21" i="50"/>
  <c r="AA22" i="50"/>
  <c r="AA23" i="50" s="1"/>
  <c r="AB22" i="50"/>
  <c r="AM18" i="49"/>
  <c r="AL23" i="49"/>
  <c r="AB25" i="49"/>
  <c r="AC25" i="49"/>
  <c r="AA21" i="48"/>
  <c r="Z24" i="48"/>
  <c r="Z25" i="48" s="1"/>
  <c r="AJ23" i="48"/>
  <c r="AK18" i="48"/>
  <c r="AB25" i="48"/>
  <c r="AC25" i="48"/>
  <c r="AM18" i="47"/>
  <c r="AL23" i="47"/>
  <c r="AL24" i="47" s="1"/>
  <c r="AC21" i="47"/>
  <c r="AK21" i="46"/>
  <c r="AL18" i="46"/>
  <c r="AT22" i="46"/>
  <c r="AA23" i="46"/>
  <c r="AB23" i="46"/>
  <c r="AM18" i="45"/>
  <c r="AL23" i="45"/>
  <c r="AL24" i="45" s="1"/>
  <c r="AC21" i="45"/>
  <c r="AK18" i="44"/>
  <c r="AJ23" i="44"/>
  <c r="Z25" i="44"/>
  <c r="AA25" i="44"/>
  <c r="AJ23" i="42"/>
  <c r="AM23" i="42"/>
  <c r="AK23" i="42"/>
  <c r="AL23" i="42"/>
  <c r="AS23" i="42"/>
  <c r="AR23" i="42"/>
  <c r="AQ23" i="42"/>
  <c r="AT23" i="42"/>
  <c r="AI23" i="42"/>
  <c r="AP23" i="42"/>
  <c r="AL23" i="41"/>
  <c r="AL24" i="41" s="1"/>
  <c r="AM18" i="41"/>
  <c r="AC21" i="41"/>
  <c r="AB24" i="41"/>
  <c r="AB25" i="41" s="1"/>
  <c r="AK18" i="40"/>
  <c r="AJ23" i="40"/>
  <c r="AJ24" i="40" s="1"/>
  <c r="AA21" i="40"/>
  <c r="AD19" i="39"/>
  <c r="AC22" i="39"/>
  <c r="AC23" i="39" s="1"/>
  <c r="AN18" i="39"/>
  <c r="AM21" i="39"/>
  <c r="AB23" i="39"/>
  <c r="AJ23" i="38"/>
  <c r="AJ24" i="38" s="1"/>
  <c r="AA21" i="38"/>
  <c r="AK18" i="38"/>
  <c r="AB23" i="50" l="1"/>
  <c r="AC23" i="50"/>
  <c r="AM18" i="50"/>
  <c r="AL21" i="50"/>
  <c r="AN21" i="49"/>
  <c r="AM23" i="49"/>
  <c r="AM24" i="49" s="1"/>
  <c r="AD21" i="49"/>
  <c r="AN18" i="49"/>
  <c r="AB21" i="48"/>
  <c r="AB24" i="48" s="1"/>
  <c r="AA24" i="48"/>
  <c r="AA25" i="48" s="1"/>
  <c r="AL18" i="48"/>
  <c r="AK23" i="48"/>
  <c r="AD21" i="47"/>
  <c r="AC24" i="47"/>
  <c r="AN18" i="47"/>
  <c r="AM23" i="47"/>
  <c r="AM24" i="47" s="1"/>
  <c r="AL21" i="46"/>
  <c r="AL22" i="46" s="1"/>
  <c r="AM18" i="46"/>
  <c r="AD21" i="45"/>
  <c r="AC24" i="45"/>
  <c r="AN18" i="45"/>
  <c r="AM23" i="45"/>
  <c r="AM24" i="45" s="1"/>
  <c r="AK23" i="44"/>
  <c r="AK24" i="44" s="1"/>
  <c r="AB21" i="44"/>
  <c r="AL21" i="44"/>
  <c r="AM21" i="44" s="1"/>
  <c r="AN21" i="44" s="1"/>
  <c r="AO21" i="44" s="1"/>
  <c r="AP21" i="44" s="1"/>
  <c r="AQ21" i="44" s="1"/>
  <c r="AR21" i="44" s="1"/>
  <c r="AS21" i="44" s="1"/>
  <c r="AL18" i="44"/>
  <c r="AD21" i="41"/>
  <c r="AC24" i="41"/>
  <c r="AN18" i="41"/>
  <c r="AM23" i="41"/>
  <c r="AM24" i="41" s="1"/>
  <c r="AB21" i="40"/>
  <c r="AA24" i="40"/>
  <c r="AA25" i="40" s="1"/>
  <c r="AK23" i="40"/>
  <c r="AL18" i="40"/>
  <c r="AN21" i="39"/>
  <c r="AO18" i="39"/>
  <c r="AE19" i="39"/>
  <c r="AD22" i="39"/>
  <c r="AK23" i="38"/>
  <c r="AL18" i="38"/>
  <c r="AB21" i="38"/>
  <c r="AA24" i="38"/>
  <c r="AA25" i="38" s="1"/>
  <c r="AN18" i="50" l="1"/>
  <c r="AM21" i="50"/>
  <c r="AM22" i="50" s="1"/>
  <c r="AN23" i="49"/>
  <c r="AO18" i="49"/>
  <c r="AE21" i="49"/>
  <c r="AD24" i="49"/>
  <c r="AD25" i="49" s="1"/>
  <c r="AN24" i="49"/>
  <c r="AO21" i="49"/>
  <c r="AM18" i="48"/>
  <c r="AL23" i="48"/>
  <c r="AE21" i="47"/>
  <c r="AD24" i="47"/>
  <c r="AN23" i="47"/>
  <c r="AN24" i="47" s="1"/>
  <c r="AO18" i="47"/>
  <c r="AC25" i="47"/>
  <c r="AN18" i="46"/>
  <c r="AM21" i="46"/>
  <c r="AM22" i="46" s="1"/>
  <c r="AC22" i="46"/>
  <c r="AN23" i="45"/>
  <c r="AN24" i="45" s="1"/>
  <c r="AO18" i="45"/>
  <c r="AC25" i="45"/>
  <c r="AE21" i="45"/>
  <c r="AD24" i="45"/>
  <c r="AC21" i="44"/>
  <c r="AB24" i="44"/>
  <c r="AB25" i="44" s="1"/>
  <c r="AL23" i="44"/>
  <c r="AL24" i="44" s="1"/>
  <c r="AM18" i="44"/>
  <c r="AC25" i="41"/>
  <c r="AO18" i="41"/>
  <c r="AN23" i="41"/>
  <c r="AN24" i="41" s="1"/>
  <c r="AE21" i="41"/>
  <c r="AD24" i="41"/>
  <c r="AD25" i="41" s="1"/>
  <c r="AC21" i="40"/>
  <c r="AB24" i="40"/>
  <c r="AB25" i="40" s="1"/>
  <c r="AL23" i="40"/>
  <c r="AM18" i="40"/>
  <c r="AF19" i="39"/>
  <c r="AE22" i="39"/>
  <c r="AE23" i="39" s="1"/>
  <c r="AP18" i="39"/>
  <c r="AO21" i="39"/>
  <c r="AD23" i="39"/>
  <c r="AC21" i="38"/>
  <c r="AB24" i="38"/>
  <c r="AB25" i="38" s="1"/>
  <c r="AL23" i="38"/>
  <c r="AM18" i="38"/>
  <c r="AD22" i="50" l="1"/>
  <c r="AD23" i="50" s="1"/>
  <c r="AN21" i="50"/>
  <c r="AN22" i="50" s="1"/>
  <c r="AO18" i="50"/>
  <c r="AE24" i="49"/>
  <c r="AE25" i="49" s="1"/>
  <c r="AF21" i="49"/>
  <c r="AP18" i="49"/>
  <c r="AO23" i="49"/>
  <c r="AO24" i="49"/>
  <c r="AP21" i="49"/>
  <c r="AN21" i="48"/>
  <c r="AO21" i="48" s="1"/>
  <c r="AP21" i="48" s="1"/>
  <c r="AQ21" i="48" s="1"/>
  <c r="AR21" i="48" s="1"/>
  <c r="AS21" i="48" s="1"/>
  <c r="AT21" i="48" s="1"/>
  <c r="AU21" i="48" s="1"/>
  <c r="AD21" i="48"/>
  <c r="AM23" i="48"/>
  <c r="AM24" i="48" s="1"/>
  <c r="AN18" i="48"/>
  <c r="AD25" i="47"/>
  <c r="AF21" i="47"/>
  <c r="AE24" i="47"/>
  <c r="AO23" i="47"/>
  <c r="AO24" i="47" s="1"/>
  <c r="AP18" i="47"/>
  <c r="AC23" i="46"/>
  <c r="AD22" i="46"/>
  <c r="AD23" i="46" s="1"/>
  <c r="AO18" i="46"/>
  <c r="AN21" i="46"/>
  <c r="AN22" i="46" s="1"/>
  <c r="AF21" i="45"/>
  <c r="AE24" i="45"/>
  <c r="AO23" i="45"/>
  <c r="AO24" i="45" s="1"/>
  <c r="AP18" i="45"/>
  <c r="AD25" i="45"/>
  <c r="AD21" i="44"/>
  <c r="AC24" i="44"/>
  <c r="AC25" i="44" s="1"/>
  <c r="AN18" i="44"/>
  <c r="AM23" i="44"/>
  <c r="AM24" i="44" s="1"/>
  <c r="AF21" i="41"/>
  <c r="AE24" i="41"/>
  <c r="AE25" i="41" s="1"/>
  <c r="AP18" i="41"/>
  <c r="AO23" i="41"/>
  <c r="AO24" i="41" s="1"/>
  <c r="AN18" i="40"/>
  <c r="AM23" i="40"/>
  <c r="AD21" i="40"/>
  <c r="AC24" i="40"/>
  <c r="AP21" i="39"/>
  <c r="AQ18" i="39"/>
  <c r="AG19" i="39"/>
  <c r="AF22" i="39"/>
  <c r="AM23" i="38"/>
  <c r="AN18" i="38"/>
  <c r="AD21" i="38"/>
  <c r="AC24" i="38"/>
  <c r="AC25" i="38" s="1"/>
  <c r="AE22" i="50" l="1"/>
  <c r="AE23" i="50" s="1"/>
  <c r="AO21" i="50"/>
  <c r="AO22" i="50" s="1"/>
  <c r="AP18" i="50"/>
  <c r="AQ18" i="49"/>
  <c r="AP23" i="49"/>
  <c r="AF24" i="49"/>
  <c r="AG21" i="49"/>
  <c r="AQ21" i="49"/>
  <c r="AP24" i="49"/>
  <c r="AN23" i="48"/>
  <c r="AN24" i="48" s="1"/>
  <c r="AO18" i="48"/>
  <c r="AE21" i="48"/>
  <c r="AD24" i="48"/>
  <c r="AD25" i="48" s="1"/>
  <c r="AG21" i="47"/>
  <c r="AF24" i="47"/>
  <c r="AQ18" i="47"/>
  <c r="AP23" i="47"/>
  <c r="AP24" i="47" s="1"/>
  <c r="AE25" i="47"/>
  <c r="AO21" i="46"/>
  <c r="AO22" i="46" s="1"/>
  <c r="AP18" i="46"/>
  <c r="AE22" i="46"/>
  <c r="AE23" i="46" s="1"/>
  <c r="AE25" i="45"/>
  <c r="AG21" i="45"/>
  <c r="AF24" i="45"/>
  <c r="AQ18" i="45"/>
  <c r="AP23" i="45"/>
  <c r="AP24" i="45" s="1"/>
  <c r="AO18" i="44"/>
  <c r="AN23" i="44"/>
  <c r="AN24" i="44" s="1"/>
  <c r="AE21" i="44"/>
  <c r="AD24" i="44"/>
  <c r="AP23" i="41"/>
  <c r="AP24" i="41" s="1"/>
  <c r="AQ18" i="41"/>
  <c r="AG21" i="41"/>
  <c r="AF24" i="41"/>
  <c r="AO18" i="40"/>
  <c r="AN23" i="40"/>
  <c r="AE21" i="40"/>
  <c r="AD24" i="40"/>
  <c r="AD25" i="40" s="1"/>
  <c r="AC25" i="40"/>
  <c r="AH19" i="39"/>
  <c r="AG22" i="39"/>
  <c r="AG23" i="39" s="1"/>
  <c r="AR18" i="39"/>
  <c r="AQ21" i="39"/>
  <c r="AF23" i="39"/>
  <c r="AN23" i="38"/>
  <c r="AO18" i="38"/>
  <c r="AE21" i="38"/>
  <c r="AD24" i="38"/>
  <c r="AQ18" i="50" l="1"/>
  <c r="AP21" i="50"/>
  <c r="AP22" i="50" s="1"/>
  <c r="AF22" i="50"/>
  <c r="AF25" i="49"/>
  <c r="AR21" i="49"/>
  <c r="AH21" i="49"/>
  <c r="AG24" i="49"/>
  <c r="AG25" i="49" s="1"/>
  <c r="AQ23" i="49"/>
  <c r="AQ24" i="49" s="1"/>
  <c r="AR18" i="49"/>
  <c r="AF21" i="48"/>
  <c r="AE24" i="48"/>
  <c r="AE25" i="48" s="1"/>
  <c r="AO23" i="48"/>
  <c r="AO24" i="48" s="1"/>
  <c r="AP18" i="48"/>
  <c r="AR18" i="47"/>
  <c r="AQ23" i="47"/>
  <c r="AQ24" i="47" s="1"/>
  <c r="AF25" i="47"/>
  <c r="AH21" i="47"/>
  <c r="AG24" i="47"/>
  <c r="AF22" i="46"/>
  <c r="AP21" i="46"/>
  <c r="AP22" i="46" s="1"/>
  <c r="AQ18" i="46"/>
  <c r="AR18" i="45"/>
  <c r="AQ23" i="45"/>
  <c r="AQ24" i="45" s="1"/>
  <c r="AF25" i="45"/>
  <c r="AH21" i="45"/>
  <c r="AG24" i="45"/>
  <c r="AF21" i="44"/>
  <c r="AE24" i="44"/>
  <c r="AD25" i="44"/>
  <c r="AP18" i="44"/>
  <c r="AO23" i="44"/>
  <c r="AO24" i="44" s="1"/>
  <c r="AQ23" i="41"/>
  <c r="AQ24" i="41" s="1"/>
  <c r="AR18" i="41"/>
  <c r="AH21" i="41"/>
  <c r="AG24" i="41"/>
  <c r="AF25" i="41"/>
  <c r="AO23" i="40"/>
  <c r="AP18" i="40"/>
  <c r="AF21" i="40"/>
  <c r="AE24" i="40"/>
  <c r="AI19" i="39"/>
  <c r="AI22" i="39" s="1"/>
  <c r="AH22" i="39"/>
  <c r="AH23" i="39" s="1"/>
  <c r="AR21" i="39"/>
  <c r="AS18" i="39"/>
  <c r="AD25" i="38"/>
  <c r="AF21" i="38"/>
  <c r="AE24" i="38"/>
  <c r="AE25" i="38" s="1"/>
  <c r="AO23" i="38"/>
  <c r="AP18" i="38"/>
  <c r="AF23" i="50" l="1"/>
  <c r="AR18" i="50"/>
  <c r="AQ21" i="50"/>
  <c r="AQ22" i="50" s="1"/>
  <c r="AG22" i="50"/>
  <c r="AI21" i="49"/>
  <c r="AH24" i="49"/>
  <c r="AR23" i="49"/>
  <c r="AR24" i="49" s="1"/>
  <c r="AS18" i="49"/>
  <c r="AS23" i="49" s="1"/>
  <c r="AS21" i="49"/>
  <c r="AG21" i="48"/>
  <c r="AF24" i="48"/>
  <c r="AF25" i="48" s="1"/>
  <c r="AQ18" i="48"/>
  <c r="AP23" i="48"/>
  <c r="AP24" i="48" s="1"/>
  <c r="AG25" i="48"/>
  <c r="AI21" i="47"/>
  <c r="AH24" i="47"/>
  <c r="AR23" i="47"/>
  <c r="AR24" i="47" s="1"/>
  <c r="AS18" i="47"/>
  <c r="AS23" i="47" s="1"/>
  <c r="AS24" i="47" s="1"/>
  <c r="AG25" i="47"/>
  <c r="AF23" i="46"/>
  <c r="AG22" i="46"/>
  <c r="AG23" i="46" s="1"/>
  <c r="AR18" i="46"/>
  <c r="AQ21" i="46"/>
  <c r="AQ22" i="46" s="1"/>
  <c r="AG25" i="45"/>
  <c r="AI21" i="45"/>
  <c r="AH24" i="45"/>
  <c r="AH25" i="45" s="1"/>
  <c r="AR23" i="45"/>
  <c r="AR24" i="45" s="1"/>
  <c r="AS18" i="45"/>
  <c r="AS23" i="45" s="1"/>
  <c r="AS24" i="45" s="1"/>
  <c r="AE25" i="44"/>
  <c r="AP23" i="44"/>
  <c r="AP24" i="44" s="1"/>
  <c r="AQ18" i="44"/>
  <c r="AG21" i="44"/>
  <c r="AF24" i="44"/>
  <c r="AF25" i="44" s="1"/>
  <c r="AG25" i="41"/>
  <c r="AI21" i="41"/>
  <c r="AH24" i="41"/>
  <c r="AH25" i="41" s="1"/>
  <c r="AS18" i="41"/>
  <c r="AS23" i="41" s="1"/>
  <c r="AS24" i="41" s="1"/>
  <c r="AR23" i="41"/>
  <c r="AR24" i="41" s="1"/>
  <c r="AG21" i="40"/>
  <c r="AF24" i="40"/>
  <c r="AF25" i="40" s="1"/>
  <c r="AP23" i="40"/>
  <c r="AQ18" i="40"/>
  <c r="AE25" i="40"/>
  <c r="AS21" i="39"/>
  <c r="AS22" i="39" s="1"/>
  <c r="AK19" i="39"/>
  <c r="AI23" i="39"/>
  <c r="AJ23" i="39"/>
  <c r="AG21" i="38"/>
  <c r="AF24" i="38"/>
  <c r="AF25" i="38" s="1"/>
  <c r="AQ18" i="38"/>
  <c r="AP23" i="38"/>
  <c r="AH22" i="50" l="1"/>
  <c r="AR21" i="50"/>
  <c r="AR22" i="50" s="1"/>
  <c r="AS18" i="50"/>
  <c r="AS21" i="50" s="1"/>
  <c r="AG23" i="50"/>
  <c r="AH25" i="49"/>
  <c r="AS24" i="49"/>
  <c r="AT21" i="49"/>
  <c r="AI24" i="49"/>
  <c r="AJ21" i="49"/>
  <c r="AH21" i="48"/>
  <c r="AG24" i="48"/>
  <c r="AQ23" i="48"/>
  <c r="AQ24" i="48" s="1"/>
  <c r="AR18" i="48"/>
  <c r="AH25" i="48"/>
  <c r="AH25" i="47"/>
  <c r="AJ21" i="47"/>
  <c r="AI24" i="47"/>
  <c r="AS18" i="46"/>
  <c r="AS21" i="46" s="1"/>
  <c r="AS22" i="46" s="1"/>
  <c r="AR21" i="46"/>
  <c r="AR22" i="46" s="1"/>
  <c r="AH22" i="46"/>
  <c r="AJ21" i="45"/>
  <c r="AI24" i="45"/>
  <c r="AH21" i="44"/>
  <c r="AG24" i="44"/>
  <c r="AG25" i="44" s="1"/>
  <c r="AR18" i="44"/>
  <c r="AQ23" i="44"/>
  <c r="AQ24" i="44" s="1"/>
  <c r="AJ21" i="41"/>
  <c r="AJ24" i="41" s="1"/>
  <c r="AI24" i="41"/>
  <c r="AI25" i="41" s="1"/>
  <c r="AQ25" i="41"/>
  <c r="AR18" i="40"/>
  <c r="AQ23" i="40"/>
  <c r="AH21" i="40"/>
  <c r="AG24" i="40"/>
  <c r="AG25" i="40" s="1"/>
  <c r="AL19" i="39"/>
  <c r="AK22" i="39"/>
  <c r="AK23" i="39" s="1"/>
  <c r="AQ23" i="38"/>
  <c r="AR18" i="38"/>
  <c r="AH21" i="38"/>
  <c r="AG24" i="38"/>
  <c r="AG25" i="38" s="1"/>
  <c r="AS22" i="50" l="1"/>
  <c r="AI22" i="50"/>
  <c r="AH23" i="50"/>
  <c r="AI25" i="49"/>
  <c r="AU21" i="49"/>
  <c r="AU24" i="49" s="1"/>
  <c r="AT24" i="49"/>
  <c r="AJ24" i="49"/>
  <c r="AJ25" i="49" s="1"/>
  <c r="AK21" i="49"/>
  <c r="AI21" i="48"/>
  <c r="AH24" i="48"/>
  <c r="AR23" i="48"/>
  <c r="AR24" i="48" s="1"/>
  <c r="AS18" i="48"/>
  <c r="AS23" i="48" s="1"/>
  <c r="AS24" i="48" s="1"/>
  <c r="AU24" i="48"/>
  <c r="AT24" i="48"/>
  <c r="AK21" i="47"/>
  <c r="AK24" i="47" s="1"/>
  <c r="AJ24" i="47"/>
  <c r="AO25" i="47" s="1"/>
  <c r="AI25" i="47"/>
  <c r="AQ25" i="47"/>
  <c r="AI22" i="46"/>
  <c r="AH23" i="46"/>
  <c r="AI25" i="45"/>
  <c r="AP25" i="45"/>
  <c r="AK21" i="45"/>
  <c r="AK24" i="45" s="1"/>
  <c r="AJ24" i="45"/>
  <c r="E12" i="45" s="1"/>
  <c r="E14" i="45" s="1"/>
  <c r="AR25" i="45"/>
  <c r="AS18" i="44"/>
  <c r="AS23" i="44" s="1"/>
  <c r="AS24" i="44" s="1"/>
  <c r="AR23" i="44"/>
  <c r="AR24" i="44" s="1"/>
  <c r="AI21" i="44"/>
  <c r="AH24" i="44"/>
  <c r="AO25" i="41"/>
  <c r="AJ25" i="41"/>
  <c r="AK25" i="41"/>
  <c r="AL25" i="41"/>
  <c r="AM25" i="41"/>
  <c r="AT25" i="41"/>
  <c r="AS25" i="41"/>
  <c r="AP25" i="41"/>
  <c r="AN25" i="41"/>
  <c r="AR25" i="41"/>
  <c r="E12" i="41"/>
  <c r="E14" i="41" s="1"/>
  <c r="AS18" i="40"/>
  <c r="AR23" i="40"/>
  <c r="AI21" i="40"/>
  <c r="AI24" i="40" s="1"/>
  <c r="AH24" i="40"/>
  <c r="AH25" i="40" s="1"/>
  <c r="AM19" i="39"/>
  <c r="AL22" i="39"/>
  <c r="AI21" i="38"/>
  <c r="AI24" i="38" s="1"/>
  <c r="AH24" i="38"/>
  <c r="AH25" i="38" s="1"/>
  <c r="AR23" i="38"/>
  <c r="AS18" i="38"/>
  <c r="AI23" i="50" l="1"/>
  <c r="AU22" i="50"/>
  <c r="AT22" i="50"/>
  <c r="AJ22" i="50"/>
  <c r="AJ23" i="50" s="1"/>
  <c r="AU25" i="49"/>
  <c r="E14" i="49"/>
  <c r="AL21" i="49"/>
  <c r="AL24" i="49" s="1"/>
  <c r="AK24" i="49"/>
  <c r="AJ21" i="48"/>
  <c r="AI24" i="48"/>
  <c r="AI25" i="48" s="1"/>
  <c r="AJ25" i="47"/>
  <c r="AU25" i="47"/>
  <c r="AR25" i="47"/>
  <c r="AP25" i="47"/>
  <c r="E12" i="47"/>
  <c r="E14" i="47" s="1"/>
  <c r="AT25" i="47"/>
  <c r="AM25" i="47"/>
  <c r="AK25" i="47"/>
  <c r="AL25" i="47"/>
  <c r="AN25" i="47"/>
  <c r="AS25" i="47"/>
  <c r="AI23" i="46"/>
  <c r="AK22" i="46"/>
  <c r="AJ22" i="46"/>
  <c r="E12" i="46" s="1"/>
  <c r="AJ25" i="45"/>
  <c r="AQ25" i="45"/>
  <c r="AS25" i="45"/>
  <c r="AK25" i="45"/>
  <c r="AL25" i="45"/>
  <c r="AN25" i="45"/>
  <c r="AT25" i="45"/>
  <c r="AO25" i="45"/>
  <c r="AM25" i="45"/>
  <c r="AU25" i="45"/>
  <c r="AJ21" i="44"/>
  <c r="AJ24" i="44" s="1"/>
  <c r="AI24" i="44"/>
  <c r="AI25" i="44" s="1"/>
  <c r="AH25" i="44"/>
  <c r="AM25" i="44"/>
  <c r="AR25" i="44"/>
  <c r="AQ25" i="44"/>
  <c r="E12" i="44"/>
  <c r="E14" i="44" s="1"/>
  <c r="AS25" i="44"/>
  <c r="AI25" i="40"/>
  <c r="AJ25" i="40"/>
  <c r="AS23" i="40"/>
  <c r="AS24" i="40" s="1"/>
  <c r="AK21" i="40"/>
  <c r="AL23" i="39"/>
  <c r="AN19" i="39"/>
  <c r="AM22" i="39"/>
  <c r="AS23" i="38"/>
  <c r="AS24" i="38" s="1"/>
  <c r="AK21" i="38"/>
  <c r="AI25" i="38"/>
  <c r="AJ25" i="38"/>
  <c r="AL22" i="50" l="1"/>
  <c r="AK22" i="50"/>
  <c r="AK23" i="50" s="1"/>
  <c r="AK25" i="49"/>
  <c r="AR25" i="49"/>
  <c r="AS25" i="49"/>
  <c r="AP25" i="49"/>
  <c r="AV25" i="49"/>
  <c r="AL25" i="49"/>
  <c r="AM25" i="49"/>
  <c r="AQ25" i="49"/>
  <c r="AO25" i="49"/>
  <c r="AN25" i="49"/>
  <c r="AT25" i="49"/>
  <c r="AK21" i="48"/>
  <c r="AJ24" i="48"/>
  <c r="AJ25" i="48" s="1"/>
  <c r="E12" i="48"/>
  <c r="E14" i="48" s="1"/>
  <c r="AL25" i="48"/>
  <c r="AM25" i="48"/>
  <c r="AN25" i="48"/>
  <c r="AO25" i="48"/>
  <c r="AU25" i="48"/>
  <c r="AT25" i="48"/>
  <c r="AS25" i="48"/>
  <c r="AV25" i="48"/>
  <c r="AR25" i="48"/>
  <c r="AP25" i="48"/>
  <c r="AQ25" i="48"/>
  <c r="AK23" i="46"/>
  <c r="AL23" i="46"/>
  <c r="AM23" i="46"/>
  <c r="AN23" i="46"/>
  <c r="AO23" i="46"/>
  <c r="AT23" i="46"/>
  <c r="AJ23" i="46"/>
  <c r="E14" i="46"/>
  <c r="AQ23" i="46"/>
  <c r="AU23" i="46"/>
  <c r="AS23" i="46"/>
  <c r="AP23" i="46"/>
  <c r="AR23" i="46"/>
  <c r="AJ25" i="44"/>
  <c r="AK25" i="44"/>
  <c r="AL25" i="44"/>
  <c r="AN25" i="44"/>
  <c r="AT25" i="44"/>
  <c r="AO25" i="44"/>
  <c r="AP25" i="44"/>
  <c r="AL21" i="40"/>
  <c r="AK24" i="40"/>
  <c r="AK25" i="40" s="1"/>
  <c r="AO19" i="39"/>
  <c r="AN22" i="39"/>
  <c r="AM23" i="39"/>
  <c r="AL21" i="38"/>
  <c r="AK24" i="38"/>
  <c r="AK25" i="38" s="1"/>
  <c r="AT23" i="50" l="1"/>
  <c r="AP23" i="50"/>
  <c r="AU23" i="50"/>
  <c r="AQ23" i="50"/>
  <c r="AS23" i="50"/>
  <c r="E12" i="50"/>
  <c r="E14" i="50" s="1"/>
  <c r="AL23" i="50"/>
  <c r="AM23" i="50"/>
  <c r="AN23" i="50"/>
  <c r="AO23" i="50"/>
  <c r="AR23" i="50"/>
  <c r="AV23" i="50"/>
  <c r="AL21" i="48"/>
  <c r="AL24" i="48" s="1"/>
  <c r="AK24" i="48"/>
  <c r="AK25" i="48" s="1"/>
  <c r="AM21" i="40"/>
  <c r="AL24" i="40"/>
  <c r="AN23" i="39"/>
  <c r="AP19" i="39"/>
  <c r="AO22" i="39"/>
  <c r="AM21" i="38"/>
  <c r="AL24" i="38"/>
  <c r="AL25" i="40" l="1"/>
  <c r="AN21" i="40"/>
  <c r="AM24" i="40"/>
  <c r="AM25" i="40" s="1"/>
  <c r="AQ19" i="39"/>
  <c r="AP22" i="39"/>
  <c r="AO23" i="39"/>
  <c r="AL25" i="38"/>
  <c r="AN21" i="38"/>
  <c r="AM24" i="38"/>
  <c r="AM25" i="38" s="1"/>
  <c r="AO21" i="40" l="1"/>
  <c r="AN24" i="40"/>
  <c r="AP23" i="39"/>
  <c r="AR19" i="39"/>
  <c r="AR22" i="39" s="1"/>
  <c r="AR23" i="39" s="1"/>
  <c r="AQ22" i="39"/>
  <c r="AO21" i="38"/>
  <c r="AN24" i="38"/>
  <c r="AN25" i="40" l="1"/>
  <c r="AP21" i="40"/>
  <c r="AO24" i="40"/>
  <c r="AO25" i="40" s="1"/>
  <c r="AS23" i="39"/>
  <c r="AT23" i="39"/>
  <c r="AQ23" i="39"/>
  <c r="E12" i="39"/>
  <c r="E14" i="39" s="1"/>
  <c r="AN25" i="38"/>
  <c r="AP21" i="38"/>
  <c r="AO24" i="38"/>
  <c r="AO25" i="38" s="1"/>
  <c r="AQ21" i="40" l="1"/>
  <c r="AP24" i="40"/>
  <c r="AQ21" i="38"/>
  <c r="AP24" i="38"/>
  <c r="AP25" i="40" l="1"/>
  <c r="AR21" i="40"/>
  <c r="AR24" i="40" s="1"/>
  <c r="AR25" i="40" s="1"/>
  <c r="AQ24" i="40"/>
  <c r="AQ25" i="40" s="1"/>
  <c r="AP25" i="38"/>
  <c r="AR21" i="38"/>
  <c r="AR24" i="38" s="1"/>
  <c r="AQ24" i="38"/>
  <c r="E12" i="40" l="1"/>
  <c r="E14" i="40" s="1"/>
  <c r="AS25" i="40"/>
  <c r="AT25" i="40"/>
  <c r="AQ25" i="38"/>
  <c r="AS25" i="38"/>
  <c r="AR25" i="38"/>
  <c r="E12" i="38"/>
  <c r="E14" i="38" s="1"/>
  <c r="AT25" i="38"/>
  <c r="E12" i="14" l="1"/>
  <c r="C23" i="26" l="1"/>
  <c r="C21" i="14"/>
  <c r="C23" i="27"/>
  <c r="C23" i="25"/>
  <c r="C21" i="12"/>
  <c r="C23" i="24"/>
  <c r="C23" i="15"/>
  <c r="C21" i="2"/>
  <c r="C23" i="16"/>
  <c r="C23" i="23"/>
  <c r="C21" i="13"/>
  <c r="C23" i="17"/>
  <c r="C20" i="1"/>
  <c r="I19" i="17" l="1"/>
  <c r="H19" i="17"/>
  <c r="G19" i="17"/>
  <c r="F19" i="17"/>
  <c r="E19" i="17"/>
  <c r="E21" i="17" s="1"/>
  <c r="C15" i="31" l="1"/>
  <c r="H15" i="31" s="1"/>
  <c r="B17" i="31"/>
  <c r="B20" i="31"/>
  <c r="H16" i="31" l="1"/>
  <c r="G16" i="31" s="1"/>
  <c r="G17" i="31" s="1"/>
  <c r="G20" i="31" s="1"/>
  <c r="F16" i="31"/>
  <c r="F17" i="31" s="1"/>
  <c r="F20" i="31" s="1"/>
  <c r="B2" i="30"/>
  <c r="C2" i="30"/>
  <c r="D2" i="30" s="1"/>
  <c r="B3" i="30"/>
  <c r="C3" i="30"/>
  <c r="D3" i="30" s="1"/>
  <c r="B4" i="30"/>
  <c r="C4" i="30"/>
  <c r="B5" i="30"/>
  <c r="C5" i="30"/>
  <c r="D5" i="30" s="1"/>
  <c r="B6" i="30"/>
  <c r="C6" i="30"/>
  <c r="B7" i="30"/>
  <c r="C7" i="30"/>
  <c r="D7" i="30" s="1"/>
  <c r="B8" i="30"/>
  <c r="C8" i="30"/>
  <c r="B9" i="30"/>
  <c r="C9" i="30"/>
  <c r="D9" i="30" s="1"/>
  <c r="B10" i="30"/>
  <c r="C10" i="30"/>
  <c r="B11" i="30"/>
  <c r="C11" i="30"/>
  <c r="B12" i="30"/>
  <c r="C12" i="30"/>
  <c r="B13" i="30"/>
  <c r="C13" i="30"/>
  <c r="B14" i="30"/>
  <c r="C14" i="30"/>
  <c r="B15" i="30"/>
  <c r="C15" i="30"/>
  <c r="D15" i="30" s="1"/>
  <c r="B16" i="30"/>
  <c r="C16" i="30"/>
  <c r="B17" i="30"/>
  <c r="C17" i="30"/>
  <c r="D17" i="30" s="1"/>
  <c r="B18" i="30"/>
  <c r="C18" i="30"/>
  <c r="B19" i="30"/>
  <c r="C19" i="30"/>
  <c r="B20" i="30"/>
  <c r="C20" i="30"/>
  <c r="B21" i="30"/>
  <c r="C21" i="30"/>
  <c r="B22" i="30"/>
  <c r="C22" i="30"/>
  <c r="B23" i="30"/>
  <c r="C23" i="30"/>
  <c r="D23" i="30" s="1"/>
  <c r="B24" i="30"/>
  <c r="C24" i="30"/>
  <c r="B25" i="30"/>
  <c r="C25" i="30"/>
  <c r="D25" i="30" s="1"/>
  <c r="B26" i="30"/>
  <c r="C26" i="30"/>
  <c r="D26" i="30" s="1"/>
  <c r="B27" i="30"/>
  <c r="C27" i="30"/>
  <c r="B28" i="30"/>
  <c r="C28" i="30"/>
  <c r="B29" i="30"/>
  <c r="C29" i="30"/>
  <c r="B30" i="30"/>
  <c r="C30" i="30"/>
  <c r="B31" i="30"/>
  <c r="C31" i="30"/>
  <c r="D31" i="30" s="1"/>
  <c r="B32" i="30"/>
  <c r="C32" i="30"/>
  <c r="B33" i="30"/>
  <c r="C33" i="30"/>
  <c r="D33" i="30" s="1"/>
  <c r="B34" i="30"/>
  <c r="C34" i="30"/>
  <c r="D34" i="30" s="1"/>
  <c r="B35" i="30"/>
  <c r="C35" i="30"/>
  <c r="B36" i="30"/>
  <c r="C36" i="30"/>
  <c r="B37" i="30"/>
  <c r="C37" i="30"/>
  <c r="B38" i="30"/>
  <c r="C38" i="30"/>
  <c r="D38" i="30" s="1"/>
  <c r="B39" i="30"/>
  <c r="C39" i="30"/>
  <c r="B40" i="30"/>
  <c r="C40" i="30"/>
  <c r="B41" i="30"/>
  <c r="C41" i="30"/>
  <c r="B42" i="30"/>
  <c r="C42" i="30"/>
  <c r="B43" i="30"/>
  <c r="C43" i="30"/>
  <c r="B44" i="30"/>
  <c r="C44" i="30"/>
  <c r="B45" i="30"/>
  <c r="C45" i="30"/>
  <c r="B46" i="30"/>
  <c r="C46" i="30"/>
  <c r="B47" i="30"/>
  <c r="C47" i="30"/>
  <c r="B48" i="30"/>
  <c r="C48" i="30"/>
  <c r="B49" i="30"/>
  <c r="C49" i="30"/>
  <c r="B50" i="30"/>
  <c r="C50" i="30"/>
  <c r="B51" i="30"/>
  <c r="C51" i="30"/>
  <c r="B52" i="30"/>
  <c r="C52" i="30"/>
  <c r="B53" i="30"/>
  <c r="C53" i="30"/>
  <c r="B54" i="30"/>
  <c r="C54" i="30"/>
  <c r="D54" i="30" s="1"/>
  <c r="B55" i="30"/>
  <c r="C55" i="30"/>
  <c r="D55" i="30" s="1"/>
  <c r="B56" i="30"/>
  <c r="C56" i="30"/>
  <c r="B57" i="30"/>
  <c r="C57" i="30"/>
  <c r="D57" i="30" s="1"/>
  <c r="B58" i="30"/>
  <c r="C58" i="30"/>
  <c r="B59" i="30"/>
  <c r="C59" i="30"/>
  <c r="B60" i="30"/>
  <c r="C60" i="30"/>
  <c r="B61" i="30"/>
  <c r="C61" i="30"/>
  <c r="B62" i="30"/>
  <c r="C62" i="30"/>
  <c r="B63" i="30"/>
  <c r="C63" i="30"/>
  <c r="D63" i="30" s="1"/>
  <c r="B64" i="30"/>
  <c r="C64" i="30"/>
  <c r="B65" i="30"/>
  <c r="C65" i="30"/>
  <c r="D65" i="30" s="1"/>
  <c r="B66" i="30"/>
  <c r="C66" i="30"/>
  <c r="B67" i="30"/>
  <c r="C67" i="30"/>
  <c r="B68" i="30"/>
  <c r="C68" i="30"/>
  <c r="B69" i="30"/>
  <c r="C69" i="30"/>
  <c r="B70" i="30"/>
  <c r="C70" i="30"/>
  <c r="B71" i="30"/>
  <c r="C71" i="30"/>
  <c r="B72" i="30"/>
  <c r="C72" i="30"/>
  <c r="B73" i="30"/>
  <c r="C73" i="30"/>
  <c r="B74" i="30"/>
  <c r="C74" i="30"/>
  <c r="B75" i="30"/>
  <c r="C75" i="30"/>
  <c r="B76" i="30"/>
  <c r="C76" i="30"/>
  <c r="B77" i="30"/>
  <c r="C77" i="30"/>
  <c r="B78" i="30"/>
  <c r="C78" i="30"/>
  <c r="B79" i="30"/>
  <c r="C79" i="30"/>
  <c r="B80" i="30"/>
  <c r="C80" i="30"/>
  <c r="B81" i="30"/>
  <c r="C81" i="30"/>
  <c r="B82" i="30"/>
  <c r="C82" i="30"/>
  <c r="B83" i="30"/>
  <c r="C83" i="30"/>
  <c r="B84" i="30"/>
  <c r="C84" i="30"/>
  <c r="B85" i="30"/>
  <c r="C85" i="30"/>
  <c r="B86" i="30"/>
  <c r="C86" i="30"/>
  <c r="B87" i="30"/>
  <c r="C87" i="30"/>
  <c r="D87" i="30" s="1"/>
  <c r="B88" i="30"/>
  <c r="C88" i="30"/>
  <c r="B89" i="30"/>
  <c r="C89" i="30"/>
  <c r="D89" i="30" s="1"/>
  <c r="B90" i="30"/>
  <c r="C90" i="30"/>
  <c r="B91" i="30"/>
  <c r="C91" i="30"/>
  <c r="B92" i="30"/>
  <c r="C92" i="30"/>
  <c r="B93" i="30"/>
  <c r="C93" i="30"/>
  <c r="B94" i="30"/>
  <c r="C94" i="30"/>
  <c r="B95" i="30"/>
  <c r="C95" i="30"/>
  <c r="D95" i="30" s="1"/>
  <c r="B96" i="30"/>
  <c r="C96" i="30"/>
  <c r="B97" i="30"/>
  <c r="C97" i="30"/>
  <c r="D97" i="30" s="1"/>
  <c r="B98" i="30"/>
  <c r="C98" i="30"/>
  <c r="B99" i="30"/>
  <c r="C99" i="30"/>
  <c r="B100" i="30"/>
  <c r="C100" i="30"/>
  <c r="B101" i="30"/>
  <c r="C101" i="30"/>
  <c r="B102" i="30"/>
  <c r="C102" i="30"/>
  <c r="B103" i="30"/>
  <c r="C103" i="30"/>
  <c r="B104" i="30"/>
  <c r="C104" i="30"/>
  <c r="B105" i="30"/>
  <c r="C105" i="30"/>
  <c r="D86" i="30" l="1"/>
  <c r="D84" i="30"/>
  <c r="D78" i="30"/>
  <c r="D76" i="30"/>
  <c r="D52" i="30"/>
  <c r="D46" i="30"/>
  <c r="D44" i="30"/>
  <c r="D22" i="30"/>
  <c r="D20" i="30"/>
  <c r="D14" i="30"/>
  <c r="D12" i="30"/>
  <c r="D102" i="30"/>
  <c r="D98" i="30"/>
  <c r="D90" i="30"/>
  <c r="D70" i="30"/>
  <c r="D66" i="30"/>
  <c r="D58" i="30"/>
  <c r="D104" i="30"/>
  <c r="D81" i="30"/>
  <c r="D79" i="30"/>
  <c r="D73" i="30"/>
  <c r="D71" i="30"/>
  <c r="D68" i="30"/>
  <c r="D62" i="30"/>
  <c r="D60" i="30"/>
  <c r="D50" i="30"/>
  <c r="D42" i="30"/>
  <c r="D105" i="30"/>
  <c r="D103" i="30"/>
  <c r="D100" i="30"/>
  <c r="D94" i="30"/>
  <c r="D92" i="30"/>
  <c r="D82" i="30"/>
  <c r="D80" i="30"/>
  <c r="D74" i="30"/>
  <c r="D49" i="30"/>
  <c r="D47" i="30"/>
  <c r="D41" i="30"/>
  <c r="D39" i="30"/>
  <c r="D36" i="30"/>
  <c r="D30" i="30"/>
  <c r="D28" i="30"/>
  <c r="D18" i="30"/>
  <c r="D10" i="30"/>
  <c r="D93" i="30"/>
  <c r="D91" i="30"/>
  <c r="D88" i="30"/>
  <c r="D77" i="30"/>
  <c r="D75" i="30"/>
  <c r="D72" i="30"/>
  <c r="D61" i="30"/>
  <c r="D59" i="30"/>
  <c r="D56" i="30"/>
  <c r="D45" i="30"/>
  <c r="D43" i="30"/>
  <c r="D40" i="30"/>
  <c r="D29" i="30"/>
  <c r="D27" i="30"/>
  <c r="D24" i="30"/>
  <c r="D13" i="30"/>
  <c r="D11" i="30"/>
  <c r="D8" i="30"/>
  <c r="D6" i="30"/>
  <c r="D4" i="30"/>
  <c r="D101" i="30"/>
  <c r="D99" i="30"/>
  <c r="D96" i="30"/>
  <c r="D85" i="30"/>
  <c r="D83" i="30"/>
  <c r="D69" i="30"/>
  <c r="D67" i="30"/>
  <c r="D64" i="30"/>
  <c r="D53" i="30"/>
  <c r="D51" i="30"/>
  <c r="D48" i="30"/>
  <c r="D37" i="30"/>
  <c r="D35" i="30"/>
  <c r="D32" i="30"/>
  <c r="D21" i="30"/>
  <c r="D19" i="30"/>
  <c r="D16" i="30"/>
  <c r="C16" i="31"/>
  <c r="C17" i="31" s="1"/>
  <c r="C20" i="31" s="1"/>
  <c r="H20" i="31" s="1"/>
  <c r="D16" i="31"/>
  <c r="D17" i="31" s="1"/>
  <c r="D20" i="31" s="1"/>
  <c r="E16" i="31"/>
  <c r="E17" i="31" s="1"/>
  <c r="E20" i="31" s="1"/>
  <c r="I19" i="26"/>
  <c r="I21" i="26" s="1"/>
  <c r="H19" i="26"/>
  <c r="H21" i="26" s="1"/>
  <c r="G19" i="26"/>
  <c r="G21" i="26" s="1"/>
  <c r="F19" i="26"/>
  <c r="F21" i="26" s="1"/>
  <c r="E19" i="26"/>
  <c r="E21" i="26" s="1"/>
  <c r="I19" i="27"/>
  <c r="I21" i="27" s="1"/>
  <c r="H19" i="27"/>
  <c r="H21" i="27" s="1"/>
  <c r="G19" i="27"/>
  <c r="G21" i="27" s="1"/>
  <c r="F19" i="27"/>
  <c r="F21" i="27" s="1"/>
  <c r="E19" i="27"/>
  <c r="E21" i="27" s="1"/>
  <c r="I19" i="25"/>
  <c r="I21" i="25" s="1"/>
  <c r="H19" i="25"/>
  <c r="H21" i="25" s="1"/>
  <c r="G19" i="25"/>
  <c r="G21" i="25" s="1"/>
  <c r="F19" i="25"/>
  <c r="F21" i="25" s="1"/>
  <c r="E19" i="25"/>
  <c r="E21" i="25" s="1"/>
  <c r="I19" i="24"/>
  <c r="I21" i="24" s="1"/>
  <c r="H19" i="24"/>
  <c r="H21" i="24" s="1"/>
  <c r="G19" i="24"/>
  <c r="G21" i="24" s="1"/>
  <c r="F19" i="24"/>
  <c r="F21" i="24" s="1"/>
  <c r="E19" i="24"/>
  <c r="E21" i="24" s="1"/>
  <c r="I19" i="15"/>
  <c r="I21" i="15" s="1"/>
  <c r="H19" i="15"/>
  <c r="H21" i="15" s="1"/>
  <c r="G19" i="15"/>
  <c r="G21" i="15" s="1"/>
  <c r="F19" i="15"/>
  <c r="F21" i="15" s="1"/>
  <c r="E19" i="15"/>
  <c r="E21" i="15" s="1"/>
  <c r="I19" i="16"/>
  <c r="H19" i="16"/>
  <c r="G19" i="16"/>
  <c r="F19" i="16"/>
  <c r="E19" i="16"/>
  <c r="I19" i="23"/>
  <c r="I21" i="23" s="1"/>
  <c r="H19" i="23"/>
  <c r="H21" i="23" s="1"/>
  <c r="G19" i="23"/>
  <c r="G21" i="23" s="1"/>
  <c r="F19" i="23"/>
  <c r="F21" i="23" s="1"/>
  <c r="E19" i="23"/>
  <c r="E21" i="23" s="1"/>
  <c r="H18" i="31" l="1"/>
  <c r="F20" i="1"/>
  <c r="F21" i="2"/>
  <c r="AV23" i="27" l="1"/>
  <c r="AV24" i="27" s="1"/>
  <c r="AU23" i="27"/>
  <c r="AT23" i="27"/>
  <c r="E23" i="27"/>
  <c r="F18" i="27"/>
  <c r="F23" i="27" s="1"/>
  <c r="AT6" i="27"/>
  <c r="AV23" i="26"/>
  <c r="AV24" i="26" s="1"/>
  <c r="AU23" i="26"/>
  <c r="AT23" i="26"/>
  <c r="E23" i="26"/>
  <c r="F18" i="26"/>
  <c r="F23" i="26" s="1"/>
  <c r="AT6" i="26"/>
  <c r="AU23" i="25"/>
  <c r="AU24" i="25" s="1"/>
  <c r="AT23" i="25"/>
  <c r="F23" i="25"/>
  <c r="E23" i="25"/>
  <c r="F18" i="25"/>
  <c r="G18" i="25" s="1"/>
  <c r="G23" i="25" s="1"/>
  <c r="AT6" i="25"/>
  <c r="AU23" i="24"/>
  <c r="AU24" i="24" s="1"/>
  <c r="AT23" i="24"/>
  <c r="E23" i="24"/>
  <c r="E24" i="24" s="1"/>
  <c r="F18" i="24"/>
  <c r="F23" i="24" s="1"/>
  <c r="AT6" i="24"/>
  <c r="H19" i="13"/>
  <c r="I19" i="13"/>
  <c r="AT23" i="23"/>
  <c r="AT24" i="23" s="1"/>
  <c r="E23" i="23"/>
  <c r="F18" i="23"/>
  <c r="AT6" i="23"/>
  <c r="AT23" i="17"/>
  <c r="AT24" i="17" s="1"/>
  <c r="E23" i="17"/>
  <c r="F18" i="17"/>
  <c r="AT6" i="17"/>
  <c r="AT23" i="16"/>
  <c r="AT24" i="16" s="1"/>
  <c r="E23" i="16"/>
  <c r="E24" i="16" s="1"/>
  <c r="F18" i="16"/>
  <c r="F23" i="16" s="1"/>
  <c r="AT6" i="16"/>
  <c r="AT23" i="15"/>
  <c r="AT24" i="15" s="1"/>
  <c r="E23" i="15"/>
  <c r="F18" i="15"/>
  <c r="F23" i="15" s="1"/>
  <c r="AT6" i="15"/>
  <c r="H18" i="25" l="1"/>
  <c r="G18" i="15"/>
  <c r="H18" i="15" s="1"/>
  <c r="G18" i="16"/>
  <c r="H18" i="16" s="1"/>
  <c r="F24" i="16"/>
  <c r="E24" i="26"/>
  <c r="E25" i="26" s="1"/>
  <c r="E24" i="27"/>
  <c r="E25" i="27" s="1"/>
  <c r="G24" i="25"/>
  <c r="F24" i="25"/>
  <c r="F25" i="25" s="1"/>
  <c r="E24" i="25"/>
  <c r="E25" i="25" s="1"/>
  <c r="F24" i="24"/>
  <c r="F24" i="15"/>
  <c r="E24" i="15"/>
  <c r="E25" i="15" s="1"/>
  <c r="E24" i="23"/>
  <c r="E25" i="23" s="1"/>
  <c r="E24" i="17"/>
  <c r="F24" i="27"/>
  <c r="G18" i="27"/>
  <c r="F24" i="26"/>
  <c r="G18" i="26"/>
  <c r="I18" i="25"/>
  <c r="H23" i="25"/>
  <c r="H24" i="25" s="1"/>
  <c r="F25" i="24"/>
  <c r="E25" i="24"/>
  <c r="G18" i="24"/>
  <c r="F23" i="23"/>
  <c r="F24" i="23" s="1"/>
  <c r="F25" i="23" s="1"/>
  <c r="G18" i="23"/>
  <c r="F23" i="17"/>
  <c r="F24" i="17" s="1"/>
  <c r="G18" i="17"/>
  <c r="I18" i="16"/>
  <c r="H23" i="16"/>
  <c r="H24" i="16" s="1"/>
  <c r="G23" i="16"/>
  <c r="G24" i="16" s="1"/>
  <c r="E25" i="16"/>
  <c r="F25" i="16"/>
  <c r="I18" i="15"/>
  <c r="H23" i="15"/>
  <c r="H24" i="15" s="1"/>
  <c r="G23" i="15"/>
  <c r="G24" i="15" s="1"/>
  <c r="AU21" i="14"/>
  <c r="AV21" i="14"/>
  <c r="AV22" i="14" s="1"/>
  <c r="AN19" i="14"/>
  <c r="AO19" i="14" s="1"/>
  <c r="AP19" i="14" s="1"/>
  <c r="AQ19" i="14" s="1"/>
  <c r="AR19" i="14" s="1"/>
  <c r="AS19" i="14" s="1"/>
  <c r="AT19" i="14" s="1"/>
  <c r="AU19" i="14" s="1"/>
  <c r="AE19" i="14"/>
  <c r="AF19" i="14" s="1"/>
  <c r="AG19" i="14" s="1"/>
  <c r="AH19" i="14" s="1"/>
  <c r="AI19" i="14" s="1"/>
  <c r="AJ19" i="14" s="1"/>
  <c r="AK19" i="14" s="1"/>
  <c r="AL19" i="14" s="1"/>
  <c r="AD19" i="14"/>
  <c r="U19" i="14"/>
  <c r="V19" i="14"/>
  <c r="W19" i="14"/>
  <c r="X19" i="14"/>
  <c r="Y19" i="14"/>
  <c r="Z19" i="14"/>
  <c r="AA19" i="14" s="1"/>
  <c r="AB19" i="14" s="1"/>
  <c r="T19" i="14"/>
  <c r="P19" i="14"/>
  <c r="Q19" i="14"/>
  <c r="R19" i="14"/>
  <c r="O19" i="14"/>
  <c r="AT21" i="14"/>
  <c r="E21" i="14"/>
  <c r="E22" i="14" s="1"/>
  <c r="F18" i="14"/>
  <c r="AT6" i="14"/>
  <c r="AL19" i="13"/>
  <c r="AM19" i="13" s="1"/>
  <c r="AN19" i="13" s="1"/>
  <c r="AO19" i="13" s="1"/>
  <c r="AP19" i="13" s="1"/>
  <c r="AQ19" i="13" s="1"/>
  <c r="AR19" i="13" s="1"/>
  <c r="AK19" i="13"/>
  <c r="AB19" i="13"/>
  <c r="AC19" i="13"/>
  <c r="AD19" i="13"/>
  <c r="AE19" i="13" s="1"/>
  <c r="AF19" i="13" s="1"/>
  <c r="AG19" i="13" s="1"/>
  <c r="AH19" i="13" s="1"/>
  <c r="AI19" i="13" s="1"/>
  <c r="AA19" i="13"/>
  <c r="R19" i="13"/>
  <c r="S19" i="13"/>
  <c r="T19" i="13"/>
  <c r="U19" i="13"/>
  <c r="V19" i="13" s="1"/>
  <c r="W19" i="13" s="1"/>
  <c r="X19" i="13" s="1"/>
  <c r="Y19" i="13" s="1"/>
  <c r="Q19" i="13"/>
  <c r="AT21" i="13"/>
  <c r="AT22" i="13" s="1"/>
  <c r="E21" i="13"/>
  <c r="E22" i="13" s="1"/>
  <c r="G18" i="13"/>
  <c r="H18" i="13" s="1"/>
  <c r="F18" i="13"/>
  <c r="F21" i="13" s="1"/>
  <c r="F22" i="13" s="1"/>
  <c r="AT6" i="13"/>
  <c r="AU21" i="12"/>
  <c r="AU22" i="12" s="1"/>
  <c r="AM19" i="12"/>
  <c r="AN19" i="12" s="1"/>
  <c r="AO19" i="12" s="1"/>
  <c r="AP19" i="12" s="1"/>
  <c r="AQ19" i="12" s="1"/>
  <c r="AR19" i="12" s="1"/>
  <c r="AS19" i="12" s="1"/>
  <c r="AT19" i="12" s="1"/>
  <c r="AF19" i="12"/>
  <c r="AG19" i="12"/>
  <c r="AH19" i="12"/>
  <c r="AI19" i="12"/>
  <c r="AJ19" i="12"/>
  <c r="AK19" i="12" s="1"/>
  <c r="AE19" i="12"/>
  <c r="AD19" i="12"/>
  <c r="AC19" i="12"/>
  <c r="AA19" i="12"/>
  <c r="T19" i="12"/>
  <c r="U19" i="12" s="1"/>
  <c r="V19" i="12" s="1"/>
  <c r="W19" i="12" s="1"/>
  <c r="X19" i="12" s="1"/>
  <c r="Y19" i="12" s="1"/>
  <c r="Z19" i="12" s="1"/>
  <c r="S19" i="12"/>
  <c r="P19" i="12"/>
  <c r="Q19" i="12" s="1"/>
  <c r="O19" i="12"/>
  <c r="N19" i="12"/>
  <c r="AT21" i="12"/>
  <c r="E21" i="12"/>
  <c r="E22" i="12" s="1"/>
  <c r="F18" i="12"/>
  <c r="F21" i="12" s="1"/>
  <c r="F22" i="12" s="1"/>
  <c r="AT6" i="12"/>
  <c r="F18" i="2"/>
  <c r="G18" i="2" s="1"/>
  <c r="H18" i="2" s="1"/>
  <c r="I18" i="2" s="1"/>
  <c r="J18" i="2" s="1"/>
  <c r="K18" i="2" s="1"/>
  <c r="L18" i="2" s="1"/>
  <c r="M18" i="2" s="1"/>
  <c r="N18" i="2" s="1"/>
  <c r="O18" i="2" s="1"/>
  <c r="P18" i="2" s="1"/>
  <c r="Q18" i="2" s="1"/>
  <c r="R18" i="2" s="1"/>
  <c r="S18" i="2" s="1"/>
  <c r="T18" i="2" s="1"/>
  <c r="U18" i="2" s="1"/>
  <c r="V18" i="2" s="1"/>
  <c r="W18" i="2" s="1"/>
  <c r="X18" i="2" s="1"/>
  <c r="Y18" i="2" s="1"/>
  <c r="Z18" i="2" s="1"/>
  <c r="AA18" i="2" s="1"/>
  <c r="AB18" i="2" s="1"/>
  <c r="AC18" i="2" s="1"/>
  <c r="AD18" i="2" s="1"/>
  <c r="AE18" i="2" s="1"/>
  <c r="AF18" i="2" s="1"/>
  <c r="AG18" i="2" s="1"/>
  <c r="AH18" i="2" s="1"/>
  <c r="AI18" i="2" s="1"/>
  <c r="AJ18" i="2" s="1"/>
  <c r="AK18" i="2" s="1"/>
  <c r="AL18" i="2" s="1"/>
  <c r="AM18" i="2" s="1"/>
  <c r="AN18" i="2" s="1"/>
  <c r="AO18" i="2" s="1"/>
  <c r="AP18" i="2" s="1"/>
  <c r="AQ18" i="2" s="1"/>
  <c r="AR18" i="2" s="1"/>
  <c r="AS18" i="2" s="1"/>
  <c r="G25" i="25" l="1"/>
  <c r="H25" i="16"/>
  <c r="E25" i="17"/>
  <c r="F25" i="15"/>
  <c r="AU22" i="14"/>
  <c r="AT22" i="14"/>
  <c r="AT22" i="12"/>
  <c r="F25" i="27"/>
  <c r="H25" i="15"/>
  <c r="G25" i="15"/>
  <c r="G23" i="27"/>
  <c r="G24" i="27" s="1"/>
  <c r="H18" i="27"/>
  <c r="G23" i="26"/>
  <c r="G24" i="26" s="1"/>
  <c r="G25" i="26" s="1"/>
  <c r="H18" i="26"/>
  <c r="F25" i="26"/>
  <c r="H25" i="25"/>
  <c r="I23" i="25"/>
  <c r="I24" i="25" s="1"/>
  <c r="J18" i="25"/>
  <c r="H18" i="24"/>
  <c r="G23" i="24"/>
  <c r="G24" i="24" s="1"/>
  <c r="G23" i="23"/>
  <c r="G24" i="23" s="1"/>
  <c r="H18" i="23"/>
  <c r="F25" i="17"/>
  <c r="G23" i="17"/>
  <c r="G24" i="17" s="1"/>
  <c r="G25" i="17" s="1"/>
  <c r="H18" i="17"/>
  <c r="G25" i="16"/>
  <c r="J18" i="16"/>
  <c r="I23" i="16"/>
  <c r="I24" i="16" s="1"/>
  <c r="J18" i="15"/>
  <c r="I23" i="15"/>
  <c r="I24" i="15" s="1"/>
  <c r="F21" i="14"/>
  <c r="G18" i="14"/>
  <c r="E23" i="14"/>
  <c r="I18" i="13"/>
  <c r="H21" i="13"/>
  <c r="H22" i="13" s="1"/>
  <c r="G21" i="13"/>
  <c r="G22" i="13" s="1"/>
  <c r="E23" i="13"/>
  <c r="F23" i="13"/>
  <c r="G18" i="12"/>
  <c r="E23" i="12"/>
  <c r="F23" i="12"/>
  <c r="E11" i="9"/>
  <c r="C15" i="9"/>
  <c r="F15" i="9" s="1"/>
  <c r="C16" i="9"/>
  <c r="F16" i="9" s="1"/>
  <c r="H16" i="9" s="1"/>
  <c r="C17" i="9"/>
  <c r="F17" i="9" s="1"/>
  <c r="H17" i="9" s="1"/>
  <c r="C18" i="9"/>
  <c r="F18" i="9" s="1"/>
  <c r="H18" i="9" s="1"/>
  <c r="C19" i="9"/>
  <c r="F19" i="9" s="1"/>
  <c r="H19" i="9" s="1"/>
  <c r="C20" i="9"/>
  <c r="F20" i="9" s="1"/>
  <c r="H20" i="9" s="1"/>
  <c r="C21" i="9"/>
  <c r="F21" i="9" s="1"/>
  <c r="H21" i="9" s="1"/>
  <c r="B23" i="9"/>
  <c r="B24" i="9"/>
  <c r="C24" i="9"/>
  <c r="G16" i="9" l="1"/>
  <c r="G21" i="9"/>
  <c r="G20" i="9"/>
  <c r="G19" i="9"/>
  <c r="G18" i="9"/>
  <c r="G17" i="9"/>
  <c r="C23" i="9"/>
  <c r="G15" i="9"/>
  <c r="F22" i="14"/>
  <c r="F23" i="14" s="1"/>
  <c r="H23" i="27"/>
  <c r="H24" i="27" s="1"/>
  <c r="H25" i="27" s="1"/>
  <c r="I18" i="27"/>
  <c r="G25" i="27"/>
  <c r="H23" i="26"/>
  <c r="H24" i="26" s="1"/>
  <c r="I18" i="26"/>
  <c r="I25" i="25"/>
  <c r="K18" i="25"/>
  <c r="J23" i="25"/>
  <c r="J24" i="25" s="1"/>
  <c r="J25" i="25" s="1"/>
  <c r="G25" i="24"/>
  <c r="I18" i="24"/>
  <c r="H23" i="24"/>
  <c r="H24" i="24" s="1"/>
  <c r="I18" i="23"/>
  <c r="H23" i="23"/>
  <c r="H24" i="23" s="1"/>
  <c r="G25" i="23"/>
  <c r="H23" i="17"/>
  <c r="H24" i="17" s="1"/>
  <c r="I18" i="17"/>
  <c r="I25" i="16"/>
  <c r="J23" i="16"/>
  <c r="J24" i="16" s="1"/>
  <c r="K18" i="16"/>
  <c r="J23" i="15"/>
  <c r="J24" i="15" s="1"/>
  <c r="J25" i="15" s="1"/>
  <c r="K18" i="15"/>
  <c r="I25" i="15"/>
  <c r="G21" i="14"/>
  <c r="G22" i="14" s="1"/>
  <c r="H18" i="14"/>
  <c r="G23" i="13"/>
  <c r="J18" i="13"/>
  <c r="I21" i="13"/>
  <c r="I22" i="13" s="1"/>
  <c r="H23" i="13"/>
  <c r="H18" i="12"/>
  <c r="G21" i="12"/>
  <c r="G22" i="12" s="1"/>
  <c r="H15" i="9"/>
  <c r="F24" i="9"/>
  <c r="F23" i="9"/>
  <c r="G23" i="9" l="1"/>
  <c r="C29" i="9" s="1"/>
  <c r="G24" i="9"/>
  <c r="J18" i="27"/>
  <c r="I23" i="27"/>
  <c r="I24" i="27" s="1"/>
  <c r="I23" i="26"/>
  <c r="I24" i="26" s="1"/>
  <c r="J18" i="26"/>
  <c r="H25" i="26"/>
  <c r="K23" i="25"/>
  <c r="K24" i="25" s="1"/>
  <c r="L18" i="25"/>
  <c r="I23" i="24"/>
  <c r="I24" i="24" s="1"/>
  <c r="I25" i="24" s="1"/>
  <c r="J18" i="24"/>
  <c r="H25" i="24"/>
  <c r="I23" i="23"/>
  <c r="I24" i="23" s="1"/>
  <c r="J18" i="23"/>
  <c r="H25" i="23"/>
  <c r="I23" i="17"/>
  <c r="I24" i="17" s="1"/>
  <c r="J18" i="17"/>
  <c r="H25" i="17"/>
  <c r="L18" i="16"/>
  <c r="K23" i="16"/>
  <c r="K24" i="16" s="1"/>
  <c r="J25" i="16"/>
  <c r="L18" i="15"/>
  <c r="K23" i="15"/>
  <c r="K24" i="15" s="1"/>
  <c r="K25" i="15" s="1"/>
  <c r="I18" i="14"/>
  <c r="H21" i="14"/>
  <c r="H22" i="14" s="1"/>
  <c r="G23" i="14"/>
  <c r="J21" i="13"/>
  <c r="J22" i="13" s="1"/>
  <c r="K18" i="13"/>
  <c r="I23" i="13"/>
  <c r="G23" i="12"/>
  <c r="I18" i="12"/>
  <c r="H21" i="12"/>
  <c r="H23" i="9"/>
  <c r="J23" i="9" s="1"/>
  <c r="A29" i="9" s="1"/>
  <c r="A35" i="9" s="1"/>
  <c r="H24" i="9"/>
  <c r="J23" i="27" l="1"/>
  <c r="J24" i="27" s="1"/>
  <c r="K18" i="27"/>
  <c r="J25" i="27"/>
  <c r="I25" i="27"/>
  <c r="J23" i="26"/>
  <c r="J24" i="26" s="1"/>
  <c r="J25" i="26" s="1"/>
  <c r="K18" i="26"/>
  <c r="I25" i="26"/>
  <c r="K25" i="25"/>
  <c r="M18" i="25"/>
  <c r="L23" i="25"/>
  <c r="L24" i="25" s="1"/>
  <c r="J23" i="24"/>
  <c r="J24" i="24" s="1"/>
  <c r="K18" i="24"/>
  <c r="I25" i="23"/>
  <c r="K18" i="23"/>
  <c r="J23" i="23"/>
  <c r="J24" i="23" s="1"/>
  <c r="J25" i="23" s="1"/>
  <c r="H22" i="12"/>
  <c r="H23" i="12" s="1"/>
  <c r="J23" i="17"/>
  <c r="J24" i="17" s="1"/>
  <c r="J25" i="17" s="1"/>
  <c r="K18" i="17"/>
  <c r="I25" i="17"/>
  <c r="K25" i="16"/>
  <c r="M18" i="16"/>
  <c r="L23" i="16"/>
  <c r="L24" i="16" s="1"/>
  <c r="M18" i="15"/>
  <c r="L23" i="15"/>
  <c r="L24" i="15" s="1"/>
  <c r="H23" i="14"/>
  <c r="I21" i="14"/>
  <c r="I22" i="14" s="1"/>
  <c r="J18" i="14"/>
  <c r="K21" i="13"/>
  <c r="K22" i="13" s="1"/>
  <c r="L18" i="13"/>
  <c r="J23" i="13"/>
  <c r="I21" i="12"/>
  <c r="J18" i="12"/>
  <c r="K23" i="27" l="1"/>
  <c r="K24" i="27" s="1"/>
  <c r="L18" i="27"/>
  <c r="K23" i="26"/>
  <c r="K24" i="26" s="1"/>
  <c r="K25" i="26" s="1"/>
  <c r="L18" i="26"/>
  <c r="L25" i="25"/>
  <c r="M23" i="25"/>
  <c r="M24" i="25" s="1"/>
  <c r="M25" i="25" s="1"/>
  <c r="N18" i="25"/>
  <c r="J25" i="24"/>
  <c r="L18" i="24"/>
  <c r="K23" i="24"/>
  <c r="K24" i="24" s="1"/>
  <c r="K23" i="23"/>
  <c r="K24" i="23" s="1"/>
  <c r="L18" i="23"/>
  <c r="I22" i="12"/>
  <c r="I23" i="12" s="1"/>
  <c r="K23" i="17"/>
  <c r="K24" i="17" s="1"/>
  <c r="L18" i="17"/>
  <c r="N18" i="16"/>
  <c r="M23" i="16"/>
  <c r="L25" i="16"/>
  <c r="N18" i="15"/>
  <c r="M23" i="15"/>
  <c r="L25" i="15"/>
  <c r="K18" i="14"/>
  <c r="J21" i="14"/>
  <c r="I23" i="14"/>
  <c r="M18" i="13"/>
  <c r="L21" i="13"/>
  <c r="L22" i="13" s="1"/>
  <c r="K23" i="13"/>
  <c r="J21" i="12"/>
  <c r="J22" i="12" s="1"/>
  <c r="K18" i="12"/>
  <c r="J22" i="14" l="1"/>
  <c r="J23" i="14" s="1"/>
  <c r="L23" i="27"/>
  <c r="L24" i="27" s="1"/>
  <c r="L25" i="27" s="1"/>
  <c r="M18" i="27"/>
  <c r="K25" i="27"/>
  <c r="L23" i="26"/>
  <c r="L24" i="26" s="1"/>
  <c r="M18" i="26"/>
  <c r="O18" i="25"/>
  <c r="N23" i="25"/>
  <c r="M18" i="24"/>
  <c r="L23" i="24"/>
  <c r="L24" i="24" s="1"/>
  <c r="L25" i="24" s="1"/>
  <c r="K25" i="24"/>
  <c r="K25" i="23"/>
  <c r="M18" i="23"/>
  <c r="L23" i="23"/>
  <c r="L23" i="17"/>
  <c r="M18" i="17"/>
  <c r="K25" i="17"/>
  <c r="N23" i="16"/>
  <c r="O18" i="16"/>
  <c r="N23" i="15"/>
  <c r="O18" i="15"/>
  <c r="L18" i="14"/>
  <c r="K21" i="14"/>
  <c r="N18" i="13"/>
  <c r="M21" i="13"/>
  <c r="M22" i="13" s="1"/>
  <c r="J23" i="12"/>
  <c r="L18" i="12"/>
  <c r="K21" i="12"/>
  <c r="K22" i="14" l="1"/>
  <c r="K23" i="14" s="1"/>
  <c r="M23" i="27"/>
  <c r="M24" i="27" s="1"/>
  <c r="N18" i="27"/>
  <c r="N18" i="26"/>
  <c r="M23" i="26"/>
  <c r="M24" i="26" s="1"/>
  <c r="M25" i="26" s="1"/>
  <c r="L25" i="26"/>
  <c r="O23" i="25"/>
  <c r="P18" i="25"/>
  <c r="M23" i="24"/>
  <c r="M24" i="24" s="1"/>
  <c r="M25" i="24" s="1"/>
  <c r="N18" i="24"/>
  <c r="M23" i="23"/>
  <c r="N18" i="23"/>
  <c r="K22" i="12"/>
  <c r="K23" i="12" s="1"/>
  <c r="M23" i="17"/>
  <c r="N18" i="17"/>
  <c r="P18" i="16"/>
  <c r="O23" i="16"/>
  <c r="O23" i="15"/>
  <c r="P18" i="15"/>
  <c r="M18" i="14"/>
  <c r="L21" i="14"/>
  <c r="L22" i="14" s="1"/>
  <c r="N21" i="13"/>
  <c r="N22" i="13" s="1"/>
  <c r="O18" i="13"/>
  <c r="M18" i="12"/>
  <c r="L21" i="12"/>
  <c r="L22" i="12" s="1"/>
  <c r="M25" i="27" l="1"/>
  <c r="N23" i="27"/>
  <c r="N24" i="27" s="1"/>
  <c r="N25" i="27" s="1"/>
  <c r="O18" i="27"/>
  <c r="N23" i="26"/>
  <c r="N24" i="26" s="1"/>
  <c r="N25" i="26" s="1"/>
  <c r="O18" i="26"/>
  <c r="Q18" i="25"/>
  <c r="P23" i="25"/>
  <c r="O18" i="24"/>
  <c r="N23" i="24"/>
  <c r="O18" i="23"/>
  <c r="N23" i="23"/>
  <c r="N23" i="17"/>
  <c r="O18" i="17"/>
  <c r="Q18" i="16"/>
  <c r="P23" i="16"/>
  <c r="Q18" i="15"/>
  <c r="P23" i="15"/>
  <c r="M21" i="14"/>
  <c r="M22" i="14" s="1"/>
  <c r="N18" i="14"/>
  <c r="L23" i="14"/>
  <c r="P18" i="13"/>
  <c r="O21" i="13"/>
  <c r="O22" i="13" s="1"/>
  <c r="L23" i="12"/>
  <c r="N18" i="12"/>
  <c r="M21" i="12"/>
  <c r="M22" i="12" s="1"/>
  <c r="O23" i="27" l="1"/>
  <c r="P18" i="27"/>
  <c r="O23" i="26"/>
  <c r="P18" i="26"/>
  <c r="Q23" i="25"/>
  <c r="R18" i="25"/>
  <c r="P18" i="24"/>
  <c r="O23" i="24"/>
  <c r="O23" i="23"/>
  <c r="P18" i="23"/>
  <c r="P18" i="17"/>
  <c r="O23" i="17"/>
  <c r="M21" i="16"/>
  <c r="R18" i="16"/>
  <c r="Q23" i="16"/>
  <c r="Q24" i="16" s="1"/>
  <c r="M21" i="15"/>
  <c r="R18" i="15"/>
  <c r="Q23" i="15"/>
  <c r="Q24" i="15" s="1"/>
  <c r="O18" i="14"/>
  <c r="N21" i="14"/>
  <c r="N22" i="14" s="1"/>
  <c r="Q18" i="13"/>
  <c r="P21" i="13"/>
  <c r="P22" i="13" s="1"/>
  <c r="N21" i="12"/>
  <c r="N22" i="12" s="1"/>
  <c r="O18" i="12"/>
  <c r="P23" i="27" l="1"/>
  <c r="Q18" i="27"/>
  <c r="P23" i="26"/>
  <c r="Q18" i="26"/>
  <c r="S18" i="25"/>
  <c r="R23" i="25"/>
  <c r="R24" i="25" s="1"/>
  <c r="N21" i="25"/>
  <c r="Q18" i="24"/>
  <c r="P23" i="24"/>
  <c r="Q18" i="23"/>
  <c r="L21" i="23"/>
  <c r="P23" i="23"/>
  <c r="P24" i="23" s="1"/>
  <c r="P23" i="17"/>
  <c r="P24" i="17" s="1"/>
  <c r="L21" i="17"/>
  <c r="Q18" i="17"/>
  <c r="R23" i="16"/>
  <c r="S18" i="16"/>
  <c r="N21" i="16"/>
  <c r="M24" i="16"/>
  <c r="M25" i="16" s="1"/>
  <c r="R23" i="15"/>
  <c r="S18" i="15"/>
  <c r="N21" i="15"/>
  <c r="M24" i="15"/>
  <c r="O21" i="14"/>
  <c r="O22" i="14" s="1"/>
  <c r="P18" i="14"/>
  <c r="R18" i="13"/>
  <c r="Q21" i="13"/>
  <c r="Q22" i="13" s="1"/>
  <c r="P18" i="12"/>
  <c r="O21" i="12"/>
  <c r="O22" i="12" s="1"/>
  <c r="J117" i="5"/>
  <c r="I117" i="5"/>
  <c r="F117" i="5"/>
  <c r="E117" i="5"/>
  <c r="J116" i="5"/>
  <c r="I116" i="5"/>
  <c r="F116" i="5"/>
  <c r="E116" i="5"/>
  <c r="J115" i="5"/>
  <c r="I115" i="5"/>
  <c r="F115" i="5"/>
  <c r="E115" i="5"/>
  <c r="J114" i="5"/>
  <c r="I114" i="5"/>
  <c r="F114" i="5"/>
  <c r="E114" i="5"/>
  <c r="J113" i="5"/>
  <c r="I113" i="5"/>
  <c r="F113" i="5"/>
  <c r="E113" i="5"/>
  <c r="J112" i="5"/>
  <c r="I112" i="5"/>
  <c r="F112" i="5"/>
  <c r="E112" i="5"/>
  <c r="J111" i="5"/>
  <c r="I111" i="5"/>
  <c r="F111" i="5"/>
  <c r="E111" i="5"/>
  <c r="J110" i="5"/>
  <c r="I110" i="5"/>
  <c r="F110" i="5"/>
  <c r="E110" i="5"/>
  <c r="J109" i="5"/>
  <c r="I109" i="5"/>
  <c r="F109" i="5"/>
  <c r="E109" i="5"/>
  <c r="J108" i="5"/>
  <c r="I108" i="5"/>
  <c r="F108" i="5"/>
  <c r="E108" i="5"/>
  <c r="J107" i="5"/>
  <c r="I107" i="5"/>
  <c r="F107" i="5"/>
  <c r="E107" i="5"/>
  <c r="J106" i="5"/>
  <c r="I106" i="5"/>
  <c r="F106" i="5"/>
  <c r="E106" i="5"/>
  <c r="J105" i="5"/>
  <c r="I105" i="5"/>
  <c r="F105" i="5"/>
  <c r="E105" i="5"/>
  <c r="J104" i="5"/>
  <c r="I104" i="5"/>
  <c r="F104" i="5"/>
  <c r="E104" i="5"/>
  <c r="J103" i="5"/>
  <c r="I103" i="5"/>
  <c r="F103" i="5"/>
  <c r="E103" i="5"/>
  <c r="J102" i="5"/>
  <c r="I102" i="5"/>
  <c r="F102" i="5"/>
  <c r="E102" i="5"/>
  <c r="J101" i="5"/>
  <c r="I101" i="5"/>
  <c r="F101" i="5"/>
  <c r="E101" i="5"/>
  <c r="J100" i="5"/>
  <c r="I100" i="5"/>
  <c r="F100" i="5"/>
  <c r="E100" i="5"/>
  <c r="J99" i="5"/>
  <c r="I99" i="5"/>
  <c r="F99" i="5"/>
  <c r="E99" i="5"/>
  <c r="J98" i="5"/>
  <c r="I98" i="5"/>
  <c r="F98" i="5"/>
  <c r="E98" i="5"/>
  <c r="J97" i="5"/>
  <c r="I97" i="5"/>
  <c r="F97" i="5"/>
  <c r="E97" i="5"/>
  <c r="J96" i="5"/>
  <c r="I96" i="5"/>
  <c r="F96" i="5"/>
  <c r="E96" i="5"/>
  <c r="J95" i="5"/>
  <c r="I95" i="5"/>
  <c r="F95" i="5"/>
  <c r="E95" i="5"/>
  <c r="J94" i="5"/>
  <c r="I94" i="5"/>
  <c r="F94" i="5"/>
  <c r="E94" i="5"/>
  <c r="J93" i="5"/>
  <c r="I93" i="5"/>
  <c r="F93" i="5"/>
  <c r="E93" i="5"/>
  <c r="J92" i="5"/>
  <c r="I92" i="5"/>
  <c r="F92" i="5"/>
  <c r="E92" i="5"/>
  <c r="J91" i="5"/>
  <c r="I91" i="5"/>
  <c r="F91" i="5"/>
  <c r="E91" i="5"/>
  <c r="J90" i="5"/>
  <c r="I90" i="5"/>
  <c r="F90" i="5"/>
  <c r="E90" i="5"/>
  <c r="J89" i="5"/>
  <c r="I89" i="5"/>
  <c r="F89" i="5"/>
  <c r="E89" i="5"/>
  <c r="J88" i="5"/>
  <c r="I88" i="5"/>
  <c r="F88" i="5"/>
  <c r="E88" i="5"/>
  <c r="J87" i="5"/>
  <c r="I87" i="5"/>
  <c r="F87" i="5"/>
  <c r="E87" i="5"/>
  <c r="J86" i="5"/>
  <c r="I86" i="5"/>
  <c r="F86" i="5"/>
  <c r="E86" i="5"/>
  <c r="J85" i="5"/>
  <c r="I85" i="5"/>
  <c r="F85" i="5"/>
  <c r="E85" i="5"/>
  <c r="J84" i="5"/>
  <c r="I84" i="5"/>
  <c r="F84" i="5"/>
  <c r="E84" i="5"/>
  <c r="J83" i="5"/>
  <c r="I83" i="5"/>
  <c r="F83" i="5"/>
  <c r="E83" i="5"/>
  <c r="J82" i="5"/>
  <c r="I82" i="5"/>
  <c r="F82" i="5"/>
  <c r="E82" i="5"/>
  <c r="J81" i="5"/>
  <c r="I81" i="5"/>
  <c r="F81" i="5"/>
  <c r="E81" i="5"/>
  <c r="J80" i="5"/>
  <c r="I80" i="5"/>
  <c r="F80" i="5"/>
  <c r="E80" i="5"/>
  <c r="J79" i="5"/>
  <c r="I79" i="5"/>
  <c r="F79" i="5"/>
  <c r="E79" i="5"/>
  <c r="J78" i="5"/>
  <c r="I78" i="5"/>
  <c r="F78" i="5"/>
  <c r="E78" i="5"/>
  <c r="J77" i="5"/>
  <c r="I77" i="5"/>
  <c r="F77" i="5"/>
  <c r="E77" i="5"/>
  <c r="J76" i="5"/>
  <c r="I76" i="5"/>
  <c r="F76" i="5"/>
  <c r="E76" i="5"/>
  <c r="J75" i="5"/>
  <c r="I75" i="5"/>
  <c r="F75" i="5"/>
  <c r="E75" i="5"/>
  <c r="J74" i="5"/>
  <c r="I74" i="5"/>
  <c r="F74" i="5"/>
  <c r="E74" i="5"/>
  <c r="J73" i="5"/>
  <c r="I73" i="5"/>
  <c r="F73" i="5"/>
  <c r="E73" i="5"/>
  <c r="J72" i="5"/>
  <c r="I72" i="5"/>
  <c r="F72" i="5"/>
  <c r="E72" i="5"/>
  <c r="J71" i="5"/>
  <c r="I71" i="5"/>
  <c r="F71" i="5"/>
  <c r="E71" i="5"/>
  <c r="J70" i="5"/>
  <c r="I70" i="5"/>
  <c r="F70" i="5"/>
  <c r="E70" i="5"/>
  <c r="J69" i="5"/>
  <c r="I69" i="5"/>
  <c r="F69" i="5"/>
  <c r="E69" i="5"/>
  <c r="J68" i="5"/>
  <c r="I68" i="5"/>
  <c r="F68" i="5"/>
  <c r="E68" i="5"/>
  <c r="J67" i="5"/>
  <c r="I67" i="5"/>
  <c r="F67" i="5"/>
  <c r="E67" i="5"/>
  <c r="J66" i="5"/>
  <c r="I66" i="5"/>
  <c r="F66" i="5"/>
  <c r="E66" i="5"/>
  <c r="J65" i="5"/>
  <c r="I65" i="5"/>
  <c r="F65" i="5"/>
  <c r="E65" i="5"/>
  <c r="J64" i="5"/>
  <c r="I64" i="5"/>
  <c r="F64" i="5"/>
  <c r="E64" i="5"/>
  <c r="J63" i="5"/>
  <c r="I63" i="5"/>
  <c r="F63" i="5"/>
  <c r="E63" i="5"/>
  <c r="J62" i="5"/>
  <c r="I62" i="5"/>
  <c r="F62" i="5"/>
  <c r="E62" i="5"/>
  <c r="J61" i="5"/>
  <c r="I61" i="5"/>
  <c r="F61" i="5"/>
  <c r="E61" i="5"/>
  <c r="J60" i="5"/>
  <c r="I60" i="5"/>
  <c r="F60" i="5"/>
  <c r="E60" i="5"/>
  <c r="J59" i="5"/>
  <c r="I59" i="5"/>
  <c r="F59" i="5"/>
  <c r="E59" i="5"/>
  <c r="J58" i="5"/>
  <c r="I58" i="5"/>
  <c r="F58" i="5"/>
  <c r="E58" i="5"/>
  <c r="J57" i="5"/>
  <c r="I57" i="5"/>
  <c r="F57" i="5"/>
  <c r="E57" i="5"/>
  <c r="J56" i="5"/>
  <c r="I56" i="5"/>
  <c r="F56" i="5"/>
  <c r="E56" i="5"/>
  <c r="J55" i="5"/>
  <c r="I55" i="5"/>
  <c r="F55" i="5"/>
  <c r="E55" i="5"/>
  <c r="J54" i="5"/>
  <c r="I54" i="5"/>
  <c r="F54" i="5"/>
  <c r="E54" i="5"/>
  <c r="J53" i="5"/>
  <c r="I53" i="5"/>
  <c r="F53" i="5"/>
  <c r="E53" i="5"/>
  <c r="J52" i="5"/>
  <c r="I52" i="5"/>
  <c r="F52" i="5"/>
  <c r="E52" i="5"/>
  <c r="J51" i="5"/>
  <c r="I51" i="5"/>
  <c r="F51" i="5"/>
  <c r="E51" i="5"/>
  <c r="J50" i="5"/>
  <c r="I50" i="5"/>
  <c r="F50" i="5"/>
  <c r="E50" i="5"/>
  <c r="J49" i="5"/>
  <c r="I49" i="5"/>
  <c r="F49" i="5"/>
  <c r="E49" i="5"/>
  <c r="J48" i="5"/>
  <c r="I48" i="5"/>
  <c r="F48" i="5"/>
  <c r="E48" i="5"/>
  <c r="J47" i="5"/>
  <c r="I47" i="5"/>
  <c r="F47" i="5"/>
  <c r="E47" i="5"/>
  <c r="J46" i="5"/>
  <c r="I46" i="5"/>
  <c r="F46" i="5"/>
  <c r="E46" i="5"/>
  <c r="J45" i="5"/>
  <c r="I45" i="5"/>
  <c r="F45" i="5"/>
  <c r="E45" i="5"/>
  <c r="J44" i="5"/>
  <c r="I44" i="5"/>
  <c r="F44" i="5"/>
  <c r="E44" i="5"/>
  <c r="J43" i="5"/>
  <c r="I43" i="5"/>
  <c r="F43" i="5"/>
  <c r="E43" i="5"/>
  <c r="J42" i="5"/>
  <c r="I42" i="5"/>
  <c r="F42" i="5"/>
  <c r="E42" i="5"/>
  <c r="J41" i="5"/>
  <c r="I41" i="5"/>
  <c r="F41" i="5"/>
  <c r="E41" i="5"/>
  <c r="J40" i="5"/>
  <c r="I40" i="5"/>
  <c r="F40" i="5"/>
  <c r="E40" i="5"/>
  <c r="J39" i="5"/>
  <c r="I39" i="5"/>
  <c r="F39" i="5"/>
  <c r="E39" i="5"/>
  <c r="J38" i="5"/>
  <c r="I38" i="5"/>
  <c r="F38" i="5"/>
  <c r="E38" i="5"/>
  <c r="J37" i="5"/>
  <c r="I37" i="5"/>
  <c r="F37" i="5"/>
  <c r="E37" i="5"/>
  <c r="J36" i="5"/>
  <c r="I36" i="5"/>
  <c r="F36" i="5"/>
  <c r="E36" i="5"/>
  <c r="J35" i="5"/>
  <c r="I35" i="5"/>
  <c r="F35" i="5"/>
  <c r="E35" i="5"/>
  <c r="J34" i="5"/>
  <c r="I34" i="5"/>
  <c r="F34" i="5"/>
  <c r="E34" i="5"/>
  <c r="J33" i="5"/>
  <c r="I33" i="5"/>
  <c r="F33" i="5"/>
  <c r="E33" i="5"/>
  <c r="J32" i="5"/>
  <c r="I32" i="5"/>
  <c r="F32" i="5"/>
  <c r="E32" i="5"/>
  <c r="J31" i="5"/>
  <c r="I31" i="5"/>
  <c r="F31" i="5"/>
  <c r="E31" i="5"/>
  <c r="J30" i="5"/>
  <c r="I30" i="5"/>
  <c r="F30" i="5"/>
  <c r="E30" i="5"/>
  <c r="J29" i="5"/>
  <c r="I29" i="5"/>
  <c r="F29" i="5"/>
  <c r="E29" i="5"/>
  <c r="J28" i="5"/>
  <c r="I28" i="5"/>
  <c r="F28" i="5"/>
  <c r="E28" i="5"/>
  <c r="J27" i="5"/>
  <c r="I27" i="5"/>
  <c r="F27" i="5"/>
  <c r="E27" i="5"/>
  <c r="J26" i="5"/>
  <c r="I26" i="5"/>
  <c r="F26" i="5"/>
  <c r="E26" i="5"/>
  <c r="J25" i="5"/>
  <c r="I25" i="5"/>
  <c r="F25" i="5"/>
  <c r="E25" i="5"/>
  <c r="J24" i="5"/>
  <c r="I24" i="5"/>
  <c r="F24" i="5"/>
  <c r="E24" i="5"/>
  <c r="J23" i="5"/>
  <c r="I23" i="5"/>
  <c r="F23" i="5"/>
  <c r="E23" i="5"/>
  <c r="J22" i="5"/>
  <c r="I22" i="5"/>
  <c r="F22" i="5"/>
  <c r="E22" i="5"/>
  <c r="J21" i="5"/>
  <c r="I21" i="5"/>
  <c r="F21" i="5"/>
  <c r="E21" i="5"/>
  <c r="J20" i="5"/>
  <c r="I20" i="5"/>
  <c r="F20" i="5"/>
  <c r="E20" i="5"/>
  <c r="J19" i="5"/>
  <c r="I19" i="5"/>
  <c r="F19" i="5"/>
  <c r="E19" i="5"/>
  <c r="J18" i="5"/>
  <c r="I18" i="5"/>
  <c r="F18" i="5"/>
  <c r="E18" i="5"/>
  <c r="J17" i="5"/>
  <c r="I17" i="5"/>
  <c r="F17" i="5"/>
  <c r="E17" i="5"/>
  <c r="J16" i="5"/>
  <c r="I16" i="5"/>
  <c r="F16" i="5"/>
  <c r="E16" i="5"/>
  <c r="J15" i="5"/>
  <c r="I15" i="5"/>
  <c r="F15" i="5"/>
  <c r="E15" i="5"/>
  <c r="J14" i="5"/>
  <c r="I14" i="5"/>
  <c r="F14" i="5"/>
  <c r="E14" i="5"/>
  <c r="J13" i="5"/>
  <c r="I13" i="5"/>
  <c r="F13" i="5"/>
  <c r="E13" i="5"/>
  <c r="J12" i="5"/>
  <c r="I12" i="5"/>
  <c r="F12" i="5"/>
  <c r="E12" i="5"/>
  <c r="J11" i="5"/>
  <c r="I11" i="5"/>
  <c r="F11" i="5"/>
  <c r="E11" i="5"/>
  <c r="J10" i="5"/>
  <c r="I10" i="5"/>
  <c r="F10" i="5"/>
  <c r="E10" i="5"/>
  <c r="J9" i="5"/>
  <c r="I9" i="5"/>
  <c r="F9" i="5"/>
  <c r="E9" i="5"/>
  <c r="J8" i="5"/>
  <c r="I8" i="5"/>
  <c r="F8" i="5"/>
  <c r="E8" i="5"/>
  <c r="J7" i="5"/>
  <c r="I7" i="5"/>
  <c r="F7" i="5"/>
  <c r="E7" i="5"/>
  <c r="J6" i="5"/>
  <c r="I6" i="5"/>
  <c r="F6" i="5"/>
  <c r="E6" i="5"/>
  <c r="J5" i="5"/>
  <c r="I5" i="5"/>
  <c r="F5" i="5"/>
  <c r="E5" i="5"/>
  <c r="J4" i="5"/>
  <c r="I4" i="5"/>
  <c r="F4" i="5"/>
  <c r="E4" i="5"/>
  <c r="J3" i="5"/>
  <c r="I3" i="5"/>
  <c r="F3" i="5"/>
  <c r="E3" i="5"/>
  <c r="J2" i="5"/>
  <c r="I2" i="5"/>
  <c r="F2" i="5"/>
  <c r="E2" i="5"/>
  <c r="Q23" i="27" l="1"/>
  <c r="R18" i="27"/>
  <c r="Q23" i="26"/>
  <c r="R18" i="26"/>
  <c r="O21" i="25"/>
  <c r="N24" i="25"/>
  <c r="S23" i="25"/>
  <c r="T18" i="25"/>
  <c r="Q23" i="24"/>
  <c r="R18" i="24"/>
  <c r="M21" i="23"/>
  <c r="L24" i="23"/>
  <c r="Q23" i="23"/>
  <c r="R18" i="23"/>
  <c r="Q23" i="17"/>
  <c r="R18" i="17"/>
  <c r="M21" i="17"/>
  <c r="L24" i="17"/>
  <c r="O21" i="16"/>
  <c r="N24" i="16"/>
  <c r="N25" i="16" s="1"/>
  <c r="T18" i="16"/>
  <c r="S23" i="16"/>
  <c r="M25" i="15"/>
  <c r="O21" i="15"/>
  <c r="N24" i="15"/>
  <c r="N25" i="15" s="1"/>
  <c r="T18" i="15"/>
  <c r="S23" i="15"/>
  <c r="Q18" i="14"/>
  <c r="P21" i="14"/>
  <c r="P22" i="14" s="1"/>
  <c r="R21" i="13"/>
  <c r="R22" i="13" s="1"/>
  <c r="S18" i="13"/>
  <c r="Q18" i="12"/>
  <c r="P21" i="12"/>
  <c r="P22" i="12" s="1"/>
  <c r="E19" i="3"/>
  <c r="J19" i="3"/>
  <c r="R23" i="27" l="1"/>
  <c r="S18" i="27"/>
  <c r="R23" i="26"/>
  <c r="S18" i="26"/>
  <c r="N25" i="25"/>
  <c r="P21" i="25"/>
  <c r="O24" i="25"/>
  <c r="U18" i="25"/>
  <c r="T23" i="25"/>
  <c r="N21" i="24"/>
  <c r="S18" i="24"/>
  <c r="R23" i="24"/>
  <c r="R24" i="24" s="1"/>
  <c r="L25" i="23"/>
  <c r="R23" i="23"/>
  <c r="S18" i="23"/>
  <c r="N21" i="23"/>
  <c r="M24" i="23"/>
  <c r="N21" i="17"/>
  <c r="M24" i="17"/>
  <c r="R23" i="17"/>
  <c r="S18" i="17"/>
  <c r="L25" i="17"/>
  <c r="U18" i="16"/>
  <c r="T23" i="16"/>
  <c r="P21" i="16"/>
  <c r="P24" i="16" s="1"/>
  <c r="O24" i="16"/>
  <c r="O25" i="16" s="1"/>
  <c r="U18" i="15"/>
  <c r="T23" i="15"/>
  <c r="P21" i="15"/>
  <c r="P24" i="15" s="1"/>
  <c r="O24" i="15"/>
  <c r="O25" i="15" s="1"/>
  <c r="Q21" i="14"/>
  <c r="Q22" i="14" s="1"/>
  <c r="R18" i="14"/>
  <c r="T18" i="13"/>
  <c r="S21" i="13"/>
  <c r="S22" i="13" s="1"/>
  <c r="R18" i="12"/>
  <c r="Q21" i="12"/>
  <c r="Q22" i="12" s="1"/>
  <c r="AT21" i="2"/>
  <c r="AT22" i="2" s="1"/>
  <c r="E21" i="2"/>
  <c r="E22" i="2" s="1"/>
  <c r="F22" i="2"/>
  <c r="AT6" i="2"/>
  <c r="S23" i="27" l="1"/>
  <c r="S24" i="27" s="1"/>
  <c r="T18" i="27"/>
  <c r="O21" i="27"/>
  <c r="S23" i="26"/>
  <c r="S24" i="26" s="1"/>
  <c r="T18" i="26"/>
  <c r="O21" i="26"/>
  <c r="U23" i="25"/>
  <c r="V18" i="25"/>
  <c r="O25" i="25"/>
  <c r="Q21" i="25"/>
  <c r="Q24" i="25" s="1"/>
  <c r="P24" i="25"/>
  <c r="P25" i="25" s="1"/>
  <c r="T18" i="24"/>
  <c r="S23" i="24"/>
  <c r="O21" i="24"/>
  <c r="N24" i="24"/>
  <c r="N25" i="24" s="1"/>
  <c r="M25" i="23"/>
  <c r="O21" i="23"/>
  <c r="O24" i="23" s="1"/>
  <c r="N24" i="23"/>
  <c r="N25" i="23" s="1"/>
  <c r="S23" i="23"/>
  <c r="T18" i="23"/>
  <c r="S23" i="17"/>
  <c r="T18" i="17"/>
  <c r="M25" i="17"/>
  <c r="O21" i="17"/>
  <c r="O24" i="17" s="1"/>
  <c r="N24" i="17"/>
  <c r="Q25" i="16"/>
  <c r="V18" i="16"/>
  <c r="U23" i="16"/>
  <c r="P25" i="16"/>
  <c r="P25" i="15"/>
  <c r="Q25" i="15"/>
  <c r="V18" i="15"/>
  <c r="U23" i="15"/>
  <c r="S18" i="14"/>
  <c r="R21" i="14"/>
  <c r="R22" i="14" s="1"/>
  <c r="U18" i="13"/>
  <c r="T21" i="13"/>
  <c r="T22" i="13" s="1"/>
  <c r="R21" i="12"/>
  <c r="R22" i="12" s="1"/>
  <c r="S18" i="12"/>
  <c r="M23" i="12"/>
  <c r="F23" i="2"/>
  <c r="E23" i="2"/>
  <c r="H21" i="2"/>
  <c r="H22" i="2" s="1"/>
  <c r="G21" i="2"/>
  <c r="E20" i="1"/>
  <c r="E21" i="1" s="1"/>
  <c r="AT20" i="1"/>
  <c r="AT6" i="1"/>
  <c r="F18" i="1"/>
  <c r="P25" i="17" l="1"/>
  <c r="O24" i="27"/>
  <c r="O25" i="27" s="1"/>
  <c r="P21" i="27"/>
  <c r="T23" i="27"/>
  <c r="U18" i="27"/>
  <c r="O24" i="26"/>
  <c r="O25" i="26" s="1"/>
  <c r="P21" i="26"/>
  <c r="T23" i="26"/>
  <c r="U18" i="26"/>
  <c r="Q25" i="25"/>
  <c r="W18" i="25"/>
  <c r="V23" i="25"/>
  <c r="R25" i="25"/>
  <c r="P21" i="24"/>
  <c r="O24" i="24"/>
  <c r="O25" i="24" s="1"/>
  <c r="U18" i="24"/>
  <c r="T23" i="24"/>
  <c r="O25" i="23"/>
  <c r="U18" i="23"/>
  <c r="T23" i="23"/>
  <c r="P25" i="23"/>
  <c r="O25" i="17"/>
  <c r="N25" i="17"/>
  <c r="U18" i="17"/>
  <c r="T23" i="17"/>
  <c r="V23" i="16"/>
  <c r="W18" i="16"/>
  <c r="V23" i="15"/>
  <c r="W18" i="15"/>
  <c r="G22" i="2"/>
  <c r="H23" i="2" s="1"/>
  <c r="T18" i="14"/>
  <c r="S21" i="14"/>
  <c r="S22" i="14" s="1"/>
  <c r="M23" i="14"/>
  <c r="V18" i="13"/>
  <c r="U21" i="13"/>
  <c r="U22" i="13" s="1"/>
  <c r="T18" i="12"/>
  <c r="S21" i="12"/>
  <c r="S22" i="12" s="1"/>
  <c r="I21" i="2"/>
  <c r="I22" i="2" s="1"/>
  <c r="F21" i="1"/>
  <c r="F22" i="1" s="1"/>
  <c r="E22" i="1"/>
  <c r="G18" i="1"/>
  <c r="G20" i="1" s="1"/>
  <c r="U23" i="27" l="1"/>
  <c r="V18" i="27"/>
  <c r="P24" i="27"/>
  <c r="P25" i="27" s="1"/>
  <c r="Q21" i="27"/>
  <c r="P24" i="26"/>
  <c r="Q21" i="26"/>
  <c r="V18" i="26"/>
  <c r="U23" i="26"/>
  <c r="W23" i="25"/>
  <c r="X18" i="25"/>
  <c r="U23" i="24"/>
  <c r="V18" i="24"/>
  <c r="Q21" i="24"/>
  <c r="Q24" i="24" s="1"/>
  <c r="P24" i="24"/>
  <c r="U23" i="23"/>
  <c r="V18" i="23"/>
  <c r="U23" i="17"/>
  <c r="V18" i="17"/>
  <c r="X18" i="16"/>
  <c r="W23" i="16"/>
  <c r="X18" i="15"/>
  <c r="W23" i="15"/>
  <c r="G23" i="2"/>
  <c r="N23" i="14"/>
  <c r="O23" i="14"/>
  <c r="U18" i="14"/>
  <c r="T21" i="14"/>
  <c r="T22" i="14" s="1"/>
  <c r="V21" i="13"/>
  <c r="V22" i="13" s="1"/>
  <c r="W18" i="13"/>
  <c r="U18" i="12"/>
  <c r="T21" i="12"/>
  <c r="T22" i="12" s="1"/>
  <c r="J21" i="2"/>
  <c r="J22" i="2" s="1"/>
  <c r="I23" i="2"/>
  <c r="G21" i="1"/>
  <c r="G22" i="1" s="1"/>
  <c r="H18" i="1"/>
  <c r="H20" i="1" s="1"/>
  <c r="Q25" i="24" l="1"/>
  <c r="V23" i="27"/>
  <c r="W18" i="27"/>
  <c r="R21" i="27"/>
  <c r="R24" i="27" s="1"/>
  <c r="Q24" i="27"/>
  <c r="Q25" i="27" s="1"/>
  <c r="V23" i="26"/>
  <c r="W18" i="26"/>
  <c r="R21" i="26"/>
  <c r="R24" i="26" s="1"/>
  <c r="Q24" i="26"/>
  <c r="Q25" i="26" s="1"/>
  <c r="P25" i="26"/>
  <c r="Y18" i="25"/>
  <c r="X23" i="25"/>
  <c r="W18" i="24"/>
  <c r="V23" i="24"/>
  <c r="P25" i="24"/>
  <c r="R25" i="24"/>
  <c r="W18" i="23"/>
  <c r="V23" i="23"/>
  <c r="V23" i="17"/>
  <c r="W18" i="17"/>
  <c r="Y18" i="16"/>
  <c r="X23" i="16"/>
  <c r="Y18" i="15"/>
  <c r="X23" i="15"/>
  <c r="P23" i="14"/>
  <c r="Q23" i="14"/>
  <c r="U21" i="14"/>
  <c r="U22" i="14" s="1"/>
  <c r="V18" i="14"/>
  <c r="W21" i="13"/>
  <c r="W22" i="13" s="1"/>
  <c r="X18" i="13"/>
  <c r="V18" i="12"/>
  <c r="U21" i="12"/>
  <c r="U22" i="12" s="1"/>
  <c r="K21" i="2"/>
  <c r="J23" i="2"/>
  <c r="H21" i="1"/>
  <c r="H22" i="1" s="1"/>
  <c r="I18" i="1"/>
  <c r="I20" i="1" s="1"/>
  <c r="S25" i="27" l="1"/>
  <c r="R25" i="26"/>
  <c r="R25" i="27"/>
  <c r="W23" i="27"/>
  <c r="X18" i="27"/>
  <c r="S25" i="26"/>
  <c r="W23" i="26"/>
  <c r="X18" i="26"/>
  <c r="Y23" i="25"/>
  <c r="Z18" i="25"/>
  <c r="X18" i="24"/>
  <c r="W23" i="24"/>
  <c r="W23" i="23"/>
  <c r="X18" i="23"/>
  <c r="W23" i="17"/>
  <c r="X18" i="17"/>
  <c r="Z18" i="16"/>
  <c r="Y23" i="16"/>
  <c r="Z18" i="15"/>
  <c r="Y23" i="15"/>
  <c r="K22" i="2"/>
  <c r="K23" i="2" s="1"/>
  <c r="W18" i="14"/>
  <c r="V21" i="14"/>
  <c r="V22" i="14" s="1"/>
  <c r="Y18" i="13"/>
  <c r="X21" i="13"/>
  <c r="X22" i="13" s="1"/>
  <c r="V21" i="12"/>
  <c r="V22" i="12" s="1"/>
  <c r="W18" i="12"/>
  <c r="L21" i="2"/>
  <c r="I21" i="1"/>
  <c r="I22" i="1" s="1"/>
  <c r="J18" i="1"/>
  <c r="J20" i="1" s="1"/>
  <c r="X23" i="27" l="1"/>
  <c r="Y18" i="27"/>
  <c r="X23" i="26"/>
  <c r="Y18" i="26"/>
  <c r="AA18" i="25"/>
  <c r="Z23" i="25"/>
  <c r="Y18" i="24"/>
  <c r="X23" i="24"/>
  <c r="Y18" i="23"/>
  <c r="X23" i="23"/>
  <c r="X23" i="17"/>
  <c r="Y18" i="17"/>
  <c r="Z23" i="16"/>
  <c r="AA18" i="16"/>
  <c r="Z23" i="15"/>
  <c r="AA18" i="15"/>
  <c r="L22" i="2"/>
  <c r="L23" i="2" s="1"/>
  <c r="X18" i="14"/>
  <c r="W21" i="14"/>
  <c r="W22" i="14" s="1"/>
  <c r="Z18" i="13"/>
  <c r="Y21" i="13"/>
  <c r="Y22" i="13" s="1"/>
  <c r="X18" i="12"/>
  <c r="W21" i="12"/>
  <c r="W22" i="12" s="1"/>
  <c r="M21" i="2"/>
  <c r="J21" i="1"/>
  <c r="J22" i="1" s="1"/>
  <c r="K18" i="1"/>
  <c r="K20" i="1" s="1"/>
  <c r="Y23" i="27" l="1"/>
  <c r="Z18" i="27"/>
  <c r="Z18" i="26"/>
  <c r="Y23" i="26"/>
  <c r="AA23" i="25"/>
  <c r="AB18" i="25"/>
  <c r="Y23" i="24"/>
  <c r="Z18" i="24"/>
  <c r="Y23" i="23"/>
  <c r="Z18" i="23"/>
  <c r="Y23" i="17"/>
  <c r="Z18" i="17"/>
  <c r="R21" i="16"/>
  <c r="AB18" i="16"/>
  <c r="AA23" i="16"/>
  <c r="AA24" i="16" s="1"/>
  <c r="R21" i="15"/>
  <c r="AA23" i="15"/>
  <c r="AA24" i="15" s="1"/>
  <c r="AB18" i="15"/>
  <c r="Y18" i="14"/>
  <c r="X21" i="14"/>
  <c r="X22" i="14" s="1"/>
  <c r="Z21" i="13"/>
  <c r="Z22" i="13" s="1"/>
  <c r="AA18" i="13"/>
  <c r="Y18" i="12"/>
  <c r="X21" i="12"/>
  <c r="X22" i="12" s="1"/>
  <c r="N21" i="2"/>
  <c r="K21" i="1"/>
  <c r="K22" i="1" s="1"/>
  <c r="L18" i="1"/>
  <c r="L20" i="1" s="1"/>
  <c r="Z23" i="27" l="1"/>
  <c r="AA18" i="27"/>
  <c r="Z23" i="26"/>
  <c r="AA18" i="26"/>
  <c r="AC18" i="25"/>
  <c r="AB23" i="25"/>
  <c r="AB24" i="25" s="1"/>
  <c r="S21" i="25"/>
  <c r="Z23" i="24"/>
  <c r="AA18" i="24"/>
  <c r="AA18" i="23"/>
  <c r="Z23" i="23"/>
  <c r="Z24" i="23" s="1"/>
  <c r="Q21" i="23"/>
  <c r="Z23" i="17"/>
  <c r="Z24" i="17" s="1"/>
  <c r="AA18" i="17"/>
  <c r="Q21" i="17"/>
  <c r="AC18" i="16"/>
  <c r="AB23" i="16"/>
  <c r="S21" i="16"/>
  <c r="R24" i="16"/>
  <c r="R25" i="16" s="1"/>
  <c r="AC18" i="15"/>
  <c r="AB23" i="15"/>
  <c r="S21" i="15"/>
  <c r="R24" i="15"/>
  <c r="R25" i="15" s="1"/>
  <c r="Y21" i="14"/>
  <c r="Y22" i="14" s="1"/>
  <c r="Z18" i="14"/>
  <c r="AB18" i="13"/>
  <c r="AA21" i="13"/>
  <c r="AA22" i="13" s="1"/>
  <c r="Z18" i="12"/>
  <c r="Y21" i="12"/>
  <c r="Y22" i="12" s="1"/>
  <c r="O21" i="2"/>
  <c r="L21" i="1"/>
  <c r="L22" i="1" s="1"/>
  <c r="M18" i="1"/>
  <c r="M20" i="1" s="1"/>
  <c r="AA23" i="27" l="1"/>
  <c r="AB18" i="27"/>
  <c r="AA23" i="26"/>
  <c r="AB18" i="26"/>
  <c r="T21" i="25"/>
  <c r="S24" i="25"/>
  <c r="S25" i="25" s="1"/>
  <c r="AC23" i="25"/>
  <c r="AD18" i="25"/>
  <c r="AB18" i="24"/>
  <c r="AA23" i="24"/>
  <c r="R21" i="23"/>
  <c r="Q24" i="23"/>
  <c r="Q25" i="23" s="1"/>
  <c r="AA23" i="23"/>
  <c r="AB18" i="23"/>
  <c r="R21" i="17"/>
  <c r="Q24" i="17"/>
  <c r="Q25" i="17" s="1"/>
  <c r="AA23" i="17"/>
  <c r="AB18" i="17"/>
  <c r="T21" i="16"/>
  <c r="S24" i="16"/>
  <c r="S25" i="16" s="1"/>
  <c r="AD18" i="16"/>
  <c r="AC23" i="16"/>
  <c r="T21" i="15"/>
  <c r="S24" i="15"/>
  <c r="AD18" i="15"/>
  <c r="AC23" i="15"/>
  <c r="AA18" i="14"/>
  <c r="Z21" i="14"/>
  <c r="Z22" i="14" s="1"/>
  <c r="AC18" i="13"/>
  <c r="AB21" i="13"/>
  <c r="AB22" i="13" s="1"/>
  <c r="Z21" i="12"/>
  <c r="Z22" i="12" s="1"/>
  <c r="AA18" i="12"/>
  <c r="M19" i="2"/>
  <c r="P21" i="2"/>
  <c r="N18" i="1"/>
  <c r="N20" i="1" s="1"/>
  <c r="AB23" i="27" l="1"/>
  <c r="AC18" i="27"/>
  <c r="AB23" i="26"/>
  <c r="AC18" i="26"/>
  <c r="AE18" i="25"/>
  <c r="AD23" i="25"/>
  <c r="U21" i="25"/>
  <c r="T24" i="25"/>
  <c r="AC18" i="24"/>
  <c r="AB23" i="24"/>
  <c r="AB24" i="24" s="1"/>
  <c r="S21" i="24"/>
  <c r="AC18" i="23"/>
  <c r="AB23" i="23"/>
  <c r="S21" i="23"/>
  <c r="R24" i="23"/>
  <c r="R25" i="23" s="1"/>
  <c r="AB23" i="17"/>
  <c r="AC18" i="17"/>
  <c r="S21" i="17"/>
  <c r="R24" i="17"/>
  <c r="R25" i="17" s="1"/>
  <c r="AD23" i="16"/>
  <c r="AE18" i="16"/>
  <c r="U21" i="16"/>
  <c r="T24" i="16"/>
  <c r="AD23" i="15"/>
  <c r="AE18" i="15"/>
  <c r="S25" i="15"/>
  <c r="U21" i="15"/>
  <c r="T24" i="15"/>
  <c r="T25" i="15" s="1"/>
  <c r="N19" i="2"/>
  <c r="M22" i="2"/>
  <c r="AB18" i="14"/>
  <c r="AA21" i="14"/>
  <c r="AA22" i="14" s="1"/>
  <c r="AD18" i="13"/>
  <c r="AC21" i="13"/>
  <c r="AC22" i="13" s="1"/>
  <c r="AB18" i="12"/>
  <c r="AA21" i="12"/>
  <c r="AA22" i="12" s="1"/>
  <c r="Q21" i="2"/>
  <c r="Q22" i="2" s="1"/>
  <c r="O18" i="1"/>
  <c r="O20" i="1" s="1"/>
  <c r="AD18" i="27" l="1"/>
  <c r="AC23" i="27"/>
  <c r="AC24" i="27" s="1"/>
  <c r="T21" i="27"/>
  <c r="T21" i="26"/>
  <c r="AC23" i="26"/>
  <c r="AC24" i="26" s="1"/>
  <c r="AD18" i="26"/>
  <c r="V21" i="25"/>
  <c r="U24" i="25"/>
  <c r="U25" i="25" s="1"/>
  <c r="AE23" i="25"/>
  <c r="AF18" i="25"/>
  <c r="T25" i="25"/>
  <c r="AC23" i="24"/>
  <c r="AD18" i="24"/>
  <c r="T21" i="24"/>
  <c r="S24" i="24"/>
  <c r="S25" i="24" s="1"/>
  <c r="AC23" i="23"/>
  <c r="AD18" i="23"/>
  <c r="T21" i="23"/>
  <c r="S24" i="23"/>
  <c r="S25" i="23" s="1"/>
  <c r="AC23" i="17"/>
  <c r="AD18" i="17"/>
  <c r="T21" i="17"/>
  <c r="S24" i="17"/>
  <c r="V21" i="16"/>
  <c r="U24" i="16"/>
  <c r="U25" i="16" s="1"/>
  <c r="AF18" i="16"/>
  <c r="AE23" i="16"/>
  <c r="T25" i="16"/>
  <c r="AF18" i="15"/>
  <c r="AE23" i="15"/>
  <c r="V21" i="15"/>
  <c r="U24" i="15"/>
  <c r="O19" i="2"/>
  <c r="N22" i="2"/>
  <c r="R23" i="14"/>
  <c r="AC18" i="14"/>
  <c r="AB21" i="14"/>
  <c r="AB22" i="14" s="1"/>
  <c r="AD21" i="13"/>
  <c r="AD22" i="13" s="1"/>
  <c r="AE18" i="13"/>
  <c r="AC18" i="12"/>
  <c r="AB21" i="12"/>
  <c r="AB22" i="12" s="1"/>
  <c r="R21" i="2"/>
  <c r="P18" i="1"/>
  <c r="P20" i="1" s="1"/>
  <c r="T24" i="27" l="1"/>
  <c r="T25" i="27" s="1"/>
  <c r="U21" i="27"/>
  <c r="AD23" i="27"/>
  <c r="AE18" i="27"/>
  <c r="AD23" i="26"/>
  <c r="AE18" i="26"/>
  <c r="T24" i="26"/>
  <c r="T25" i="26" s="1"/>
  <c r="U21" i="26"/>
  <c r="W21" i="25"/>
  <c r="V24" i="25"/>
  <c r="V25" i="25" s="1"/>
  <c r="AG18" i="25"/>
  <c r="AF23" i="25"/>
  <c r="AE18" i="24"/>
  <c r="AD23" i="24"/>
  <c r="U21" i="24"/>
  <c r="T24" i="24"/>
  <c r="T25" i="24" s="1"/>
  <c r="AE18" i="23"/>
  <c r="AD23" i="23"/>
  <c r="U21" i="23"/>
  <c r="T24" i="23"/>
  <c r="U21" i="17"/>
  <c r="T24" i="17"/>
  <c r="T25" i="17" s="1"/>
  <c r="AD23" i="17"/>
  <c r="AE18" i="17"/>
  <c r="S25" i="17"/>
  <c r="AG18" i="16"/>
  <c r="AF23" i="16"/>
  <c r="W21" i="16"/>
  <c r="V24" i="16"/>
  <c r="V25" i="16" s="1"/>
  <c r="U25" i="15"/>
  <c r="W21" i="15"/>
  <c r="V24" i="15"/>
  <c r="V25" i="15" s="1"/>
  <c r="AG18" i="15"/>
  <c r="AF23" i="15"/>
  <c r="P19" i="2"/>
  <c r="P22" i="2" s="1"/>
  <c r="O22" i="2"/>
  <c r="AC21" i="14"/>
  <c r="AC22" i="14" s="1"/>
  <c r="AD18" i="14"/>
  <c r="S23" i="14"/>
  <c r="AE21" i="13"/>
  <c r="AE22" i="13" s="1"/>
  <c r="AF18" i="13"/>
  <c r="AD18" i="12"/>
  <c r="AC21" i="12"/>
  <c r="AC22" i="12" s="1"/>
  <c r="M23" i="2"/>
  <c r="S21" i="2"/>
  <c r="Q18" i="1"/>
  <c r="Q20" i="1" s="1"/>
  <c r="V21" i="27" l="1"/>
  <c r="U24" i="27"/>
  <c r="AE23" i="27"/>
  <c r="AF18" i="27"/>
  <c r="AE23" i="26"/>
  <c r="AF18" i="26"/>
  <c r="V21" i="26"/>
  <c r="U24" i="26"/>
  <c r="U25" i="26" s="1"/>
  <c r="AG23" i="25"/>
  <c r="AH18" i="25"/>
  <c r="X21" i="25"/>
  <c r="W24" i="25"/>
  <c r="W25" i="25" s="1"/>
  <c r="V21" i="24"/>
  <c r="U24" i="24"/>
  <c r="U25" i="24" s="1"/>
  <c r="AF18" i="24"/>
  <c r="AE23" i="24"/>
  <c r="V21" i="23"/>
  <c r="U24" i="23"/>
  <c r="U25" i="23" s="1"/>
  <c r="T25" i="23"/>
  <c r="AE23" i="23"/>
  <c r="AF18" i="23"/>
  <c r="AF18" i="17"/>
  <c r="AE23" i="17"/>
  <c r="V21" i="17"/>
  <c r="U24" i="17"/>
  <c r="AH18" i="16"/>
  <c r="AG23" i="16"/>
  <c r="X21" i="16"/>
  <c r="W24" i="16"/>
  <c r="W25" i="16" s="1"/>
  <c r="X21" i="15"/>
  <c r="W24" i="15"/>
  <c r="W25" i="15" s="1"/>
  <c r="AH18" i="15"/>
  <c r="AG23" i="15"/>
  <c r="AE18" i="14"/>
  <c r="AD21" i="14"/>
  <c r="AD22" i="14" s="1"/>
  <c r="T23" i="14"/>
  <c r="AG18" i="13"/>
  <c r="AF21" i="13"/>
  <c r="AF22" i="13" s="1"/>
  <c r="AD21" i="12"/>
  <c r="AD22" i="12" s="1"/>
  <c r="AE18" i="12"/>
  <c r="T21" i="2"/>
  <c r="M19" i="1"/>
  <c r="Q21" i="1"/>
  <c r="R18" i="1"/>
  <c r="R20" i="1" s="1"/>
  <c r="U25" i="27" l="1"/>
  <c r="AF23" i="27"/>
  <c r="AG18" i="27"/>
  <c r="W21" i="27"/>
  <c r="V24" i="27"/>
  <c r="V25" i="27" s="1"/>
  <c r="AF23" i="26"/>
  <c r="AG18" i="26"/>
  <c r="W21" i="26"/>
  <c r="V24" i="26"/>
  <c r="V25" i="26" s="1"/>
  <c r="AI18" i="25"/>
  <c r="AH23" i="25"/>
  <c r="Y21" i="25"/>
  <c r="X24" i="25"/>
  <c r="X25" i="25" s="1"/>
  <c r="W21" i="24"/>
  <c r="V24" i="24"/>
  <c r="AG18" i="24"/>
  <c r="AF23" i="24"/>
  <c r="AG18" i="23"/>
  <c r="AF23" i="23"/>
  <c r="W21" i="23"/>
  <c r="V24" i="23"/>
  <c r="V25" i="23" s="1"/>
  <c r="W21" i="17"/>
  <c r="V24" i="17"/>
  <c r="V25" i="17" s="1"/>
  <c r="AF23" i="17"/>
  <c r="AG18" i="17"/>
  <c r="U25" i="17"/>
  <c r="AH23" i="16"/>
  <c r="AI18" i="16"/>
  <c r="Y21" i="16"/>
  <c r="X24" i="16"/>
  <c r="X25" i="16" s="1"/>
  <c r="AH23" i="15"/>
  <c r="AI18" i="15"/>
  <c r="Y21" i="15"/>
  <c r="X24" i="15"/>
  <c r="X25" i="15" s="1"/>
  <c r="U23" i="14"/>
  <c r="AE21" i="14"/>
  <c r="AE22" i="14" s="1"/>
  <c r="AF18" i="14"/>
  <c r="AH18" i="13"/>
  <c r="AG21" i="13"/>
  <c r="AG22" i="13" s="1"/>
  <c r="AF18" i="12"/>
  <c r="AE21" i="12"/>
  <c r="AE22" i="12" s="1"/>
  <c r="U21" i="2"/>
  <c r="S18" i="1"/>
  <c r="S20" i="1" s="1"/>
  <c r="N19" i="1"/>
  <c r="M21" i="1"/>
  <c r="AG23" i="27" l="1"/>
  <c r="AH18" i="27"/>
  <c r="W24" i="27"/>
  <c r="W25" i="27" s="1"/>
  <c r="X21" i="27"/>
  <c r="W24" i="26"/>
  <c r="W25" i="26" s="1"/>
  <c r="X21" i="26"/>
  <c r="AG23" i="26"/>
  <c r="AH18" i="26"/>
  <c r="AI23" i="25"/>
  <c r="AJ18" i="25"/>
  <c r="Z21" i="25"/>
  <c r="Y24" i="25"/>
  <c r="Y25" i="25" s="1"/>
  <c r="V25" i="24"/>
  <c r="AG23" i="24"/>
  <c r="AH18" i="24"/>
  <c r="X21" i="24"/>
  <c r="W24" i="24"/>
  <c r="W25" i="24" s="1"/>
  <c r="X21" i="23"/>
  <c r="W24" i="23"/>
  <c r="W25" i="23" s="1"/>
  <c r="AG23" i="23"/>
  <c r="AH18" i="23"/>
  <c r="X21" i="17"/>
  <c r="W24" i="17"/>
  <c r="W25" i="17" s="1"/>
  <c r="AG23" i="17"/>
  <c r="AH18" i="17"/>
  <c r="Z21" i="16"/>
  <c r="Z24" i="16" s="1"/>
  <c r="Y24" i="16"/>
  <c r="Y25" i="16" s="1"/>
  <c r="AJ18" i="16"/>
  <c r="AI23" i="16"/>
  <c r="Z21" i="15"/>
  <c r="Z24" i="15" s="1"/>
  <c r="Y24" i="15"/>
  <c r="Y25" i="15" s="1"/>
  <c r="AI23" i="15"/>
  <c r="AJ18" i="15"/>
  <c r="V23" i="14"/>
  <c r="AG18" i="14"/>
  <c r="AF21" i="14"/>
  <c r="AF22" i="14" s="1"/>
  <c r="AH21" i="13"/>
  <c r="AH22" i="13" s="1"/>
  <c r="AI18" i="13"/>
  <c r="AG18" i="12"/>
  <c r="AF21" i="12"/>
  <c r="AF22" i="12" s="1"/>
  <c r="V21" i="2"/>
  <c r="O19" i="1"/>
  <c r="N21" i="1"/>
  <c r="N22" i="1" s="1"/>
  <c r="M22" i="1"/>
  <c r="T18" i="1"/>
  <c r="T20" i="1" s="1"/>
  <c r="AH23" i="27" l="1"/>
  <c r="AI18" i="27"/>
  <c r="X24" i="27"/>
  <c r="X25" i="27" s="1"/>
  <c r="Y21" i="27"/>
  <c r="AH23" i="26"/>
  <c r="AI18" i="26"/>
  <c r="X24" i="26"/>
  <c r="X25" i="26" s="1"/>
  <c r="Y21" i="26"/>
  <c r="AA21" i="25"/>
  <c r="AA24" i="25" s="1"/>
  <c r="Z24" i="25"/>
  <c r="Z25" i="25" s="1"/>
  <c r="AK18" i="25"/>
  <c r="AJ23" i="25"/>
  <c r="Y21" i="24"/>
  <c r="X24" i="24"/>
  <c r="X25" i="24" s="1"/>
  <c r="AI18" i="24"/>
  <c r="AH23" i="24"/>
  <c r="Y21" i="23"/>
  <c r="Y24" i="23" s="1"/>
  <c r="X24" i="23"/>
  <c r="X25" i="23" s="1"/>
  <c r="AI18" i="23"/>
  <c r="AH23" i="23"/>
  <c r="AH23" i="17"/>
  <c r="AI18" i="17"/>
  <c r="Y21" i="17"/>
  <c r="Y24" i="17" s="1"/>
  <c r="X24" i="17"/>
  <c r="X25" i="17" s="1"/>
  <c r="AK18" i="16"/>
  <c r="AJ23" i="16"/>
  <c r="Z25" i="16"/>
  <c r="AA25" i="16"/>
  <c r="AK18" i="15"/>
  <c r="AJ23" i="15"/>
  <c r="Z25" i="15"/>
  <c r="AA25" i="15"/>
  <c r="AG21" i="14"/>
  <c r="AG22" i="14" s="1"/>
  <c r="AH18" i="14"/>
  <c r="W23" i="14"/>
  <c r="AJ18" i="13"/>
  <c r="AI21" i="13"/>
  <c r="AI22" i="13" s="1"/>
  <c r="AH18" i="12"/>
  <c r="AG21" i="12"/>
  <c r="AG22" i="12" s="1"/>
  <c r="W21" i="2"/>
  <c r="U18" i="1"/>
  <c r="U20" i="1" s="1"/>
  <c r="P19" i="1"/>
  <c r="P21" i="1" s="1"/>
  <c r="O21" i="1"/>
  <c r="O22" i="1" s="1"/>
  <c r="Z21" i="27" l="1"/>
  <c r="Y24" i="27"/>
  <c r="Y25" i="27" s="1"/>
  <c r="AI23" i="27"/>
  <c r="AJ18" i="27"/>
  <c r="Z21" i="26"/>
  <c r="Y24" i="26"/>
  <c r="Y25" i="26" s="1"/>
  <c r="AI23" i="26"/>
  <c r="AJ18" i="26"/>
  <c r="AK23" i="25"/>
  <c r="AM21" i="25"/>
  <c r="AN21" i="25" s="1"/>
  <c r="AO21" i="25" s="1"/>
  <c r="AP21" i="25" s="1"/>
  <c r="AQ21" i="25" s="1"/>
  <c r="AR21" i="25" s="1"/>
  <c r="AS21" i="25" s="1"/>
  <c r="AT21" i="25" s="1"/>
  <c r="AT24" i="25" s="1"/>
  <c r="AL18" i="25"/>
  <c r="AA25" i="25"/>
  <c r="AB25" i="25"/>
  <c r="AJ18" i="24"/>
  <c r="AI23" i="24"/>
  <c r="Z21" i="24"/>
  <c r="Y24" i="24"/>
  <c r="Y25" i="24" s="1"/>
  <c r="AI23" i="23"/>
  <c r="AJ18" i="23"/>
  <c r="Y25" i="23"/>
  <c r="Z25" i="23"/>
  <c r="Y25" i="17"/>
  <c r="Z25" i="17"/>
  <c r="AI23" i="17"/>
  <c r="AJ18" i="17"/>
  <c r="AL18" i="16"/>
  <c r="AL21" i="16"/>
  <c r="AM21" i="16" s="1"/>
  <c r="AN21" i="16" s="1"/>
  <c r="AO21" i="16" s="1"/>
  <c r="AP21" i="16" s="1"/>
  <c r="AQ21" i="16" s="1"/>
  <c r="AR21" i="16" s="1"/>
  <c r="AS21" i="16" s="1"/>
  <c r="AK23" i="16"/>
  <c r="AK24" i="16" s="1"/>
  <c r="AB21" i="16"/>
  <c r="AL18" i="15"/>
  <c r="AK23" i="15"/>
  <c r="AK24" i="15" s="1"/>
  <c r="AL21" i="15"/>
  <c r="AM21" i="15" s="1"/>
  <c r="AN21" i="15" s="1"/>
  <c r="AO21" i="15" s="1"/>
  <c r="AP21" i="15" s="1"/>
  <c r="AQ21" i="15" s="1"/>
  <c r="AR21" i="15" s="1"/>
  <c r="AS21" i="15" s="1"/>
  <c r="AB21" i="15"/>
  <c r="AI18" i="14"/>
  <c r="AH21" i="14"/>
  <c r="AH22" i="14" s="1"/>
  <c r="X23" i="14"/>
  <c r="AK18" i="13"/>
  <c r="AJ21" i="13"/>
  <c r="AJ22" i="13" s="1"/>
  <c r="AH21" i="12"/>
  <c r="AH22" i="12" s="1"/>
  <c r="AI18" i="12"/>
  <c r="X21" i="2"/>
  <c r="P22" i="1"/>
  <c r="Q22" i="1"/>
  <c r="V18" i="1"/>
  <c r="V20" i="1" s="1"/>
  <c r="AA21" i="27" l="1"/>
  <c r="Z24" i="27"/>
  <c r="Z25" i="27" s="1"/>
  <c r="AJ23" i="27"/>
  <c r="AK18" i="27"/>
  <c r="AJ23" i="26"/>
  <c r="AK18" i="26"/>
  <c r="AA21" i="26"/>
  <c r="Z24" i="26"/>
  <c r="Z25" i="26" s="1"/>
  <c r="AC21" i="25"/>
  <c r="AM18" i="25"/>
  <c r="AL23" i="25"/>
  <c r="AL24" i="25" s="1"/>
  <c r="AA21" i="24"/>
  <c r="AA24" i="24" s="1"/>
  <c r="Z24" i="24"/>
  <c r="Z25" i="24" s="1"/>
  <c r="AK18" i="24"/>
  <c r="AJ23" i="24"/>
  <c r="AA21" i="23"/>
  <c r="AK18" i="23"/>
  <c r="AJ23" i="23"/>
  <c r="AJ24" i="23" s="1"/>
  <c r="AA21" i="17"/>
  <c r="AK18" i="17"/>
  <c r="AJ23" i="17"/>
  <c r="AJ24" i="17" s="1"/>
  <c r="AL23" i="16"/>
  <c r="AL24" i="16" s="1"/>
  <c r="AM18" i="16"/>
  <c r="AC21" i="16"/>
  <c r="AB24" i="16"/>
  <c r="AB25" i="16" s="1"/>
  <c r="AL23" i="15"/>
  <c r="AL24" i="15" s="1"/>
  <c r="AM18" i="15"/>
  <c r="AC21" i="15"/>
  <c r="AB24" i="15"/>
  <c r="AB25" i="15" s="1"/>
  <c r="Y23" i="14"/>
  <c r="AJ18" i="14"/>
  <c r="AI21" i="14"/>
  <c r="AI22" i="14" s="1"/>
  <c r="AL18" i="13"/>
  <c r="AK21" i="13"/>
  <c r="AK22" i="13" s="1"/>
  <c r="AJ18" i="12"/>
  <c r="AI21" i="12"/>
  <c r="AI22" i="12" s="1"/>
  <c r="Y21" i="2"/>
  <c r="W18" i="1"/>
  <c r="W20" i="1" s="1"/>
  <c r="AK23" i="27" l="1"/>
  <c r="AL18" i="27"/>
  <c r="AA24" i="27"/>
  <c r="AA25" i="27" s="1"/>
  <c r="AB21" i="27"/>
  <c r="AB24" i="27" s="1"/>
  <c r="AA24" i="26"/>
  <c r="AA25" i="26" s="1"/>
  <c r="AB21" i="26"/>
  <c r="AB24" i="26" s="1"/>
  <c r="AL18" i="26"/>
  <c r="AK23" i="26"/>
  <c r="AM23" i="25"/>
  <c r="AM24" i="25" s="1"/>
  <c r="AN18" i="25"/>
  <c r="AD21" i="25"/>
  <c r="AC24" i="25"/>
  <c r="AK23" i="24"/>
  <c r="AM21" i="24"/>
  <c r="AN21" i="24" s="1"/>
  <c r="AO21" i="24" s="1"/>
  <c r="AP21" i="24" s="1"/>
  <c r="AQ21" i="24" s="1"/>
  <c r="AR21" i="24" s="1"/>
  <c r="AS21" i="24" s="1"/>
  <c r="AT21" i="24" s="1"/>
  <c r="AT24" i="24" s="1"/>
  <c r="AL18" i="24"/>
  <c r="AA25" i="24"/>
  <c r="AB25" i="24"/>
  <c r="AK23" i="23"/>
  <c r="AL18" i="23"/>
  <c r="AB21" i="23"/>
  <c r="AA24" i="23"/>
  <c r="AA25" i="23" s="1"/>
  <c r="AB21" i="17"/>
  <c r="AA24" i="17"/>
  <c r="AA25" i="17" s="1"/>
  <c r="AK23" i="17"/>
  <c r="AL18" i="17"/>
  <c r="AD21" i="16"/>
  <c r="AC24" i="16"/>
  <c r="AC25" i="16" s="1"/>
  <c r="AN18" i="16"/>
  <c r="AM23" i="16"/>
  <c r="AM24" i="16" s="1"/>
  <c r="AD21" i="15"/>
  <c r="AC24" i="15"/>
  <c r="AC25" i="15" s="1"/>
  <c r="AM23" i="15"/>
  <c r="AM24" i="15" s="1"/>
  <c r="AN18" i="15"/>
  <c r="AK18" i="14"/>
  <c r="AJ21" i="14"/>
  <c r="AJ22" i="14" s="1"/>
  <c r="Z23" i="14"/>
  <c r="AA23" i="14"/>
  <c r="AL21" i="13"/>
  <c r="AL22" i="13" s="1"/>
  <c r="AM18" i="13"/>
  <c r="AK18" i="12"/>
  <c r="AJ21" i="12"/>
  <c r="AJ22" i="12" s="1"/>
  <c r="Z21" i="2"/>
  <c r="R19" i="2"/>
  <c r="X18" i="1"/>
  <c r="X20" i="1" s="1"/>
  <c r="AB25" i="27" l="1"/>
  <c r="AC25" i="27"/>
  <c r="AL23" i="27"/>
  <c r="AM18" i="27"/>
  <c r="AL23" i="26"/>
  <c r="AM18" i="26"/>
  <c r="AB25" i="26"/>
  <c r="AC25" i="26"/>
  <c r="AE21" i="25"/>
  <c r="AD24" i="25"/>
  <c r="AD25" i="25" s="1"/>
  <c r="AO18" i="25"/>
  <c r="AN23" i="25"/>
  <c r="AN24" i="25" s="1"/>
  <c r="AC25" i="25"/>
  <c r="AC21" i="24"/>
  <c r="AM18" i="24"/>
  <c r="AL23" i="24"/>
  <c r="AL24" i="24" s="1"/>
  <c r="AC21" i="23"/>
  <c r="AB24" i="23"/>
  <c r="AB25" i="23" s="1"/>
  <c r="AL23" i="23"/>
  <c r="AM18" i="23"/>
  <c r="AL23" i="17"/>
  <c r="AM18" i="17"/>
  <c r="AC21" i="17"/>
  <c r="AB24" i="17"/>
  <c r="AE21" i="16"/>
  <c r="AD24" i="16"/>
  <c r="AD25" i="16" s="1"/>
  <c r="AO18" i="16"/>
  <c r="AN23" i="16"/>
  <c r="AN24" i="16" s="1"/>
  <c r="AO18" i="15"/>
  <c r="AN23" i="15"/>
  <c r="AN24" i="15" s="1"/>
  <c r="AE21" i="15"/>
  <c r="AD24" i="15"/>
  <c r="S19" i="2"/>
  <c r="R22" i="2"/>
  <c r="AK21" i="14"/>
  <c r="AK22" i="14" s="1"/>
  <c r="AL18" i="14"/>
  <c r="AM21" i="13"/>
  <c r="AM22" i="13" s="1"/>
  <c r="AN18" i="13"/>
  <c r="AL18" i="12"/>
  <c r="AK21" i="12"/>
  <c r="AK22" i="12" s="1"/>
  <c r="AA21" i="2"/>
  <c r="AA22" i="2" s="1"/>
  <c r="Y18" i="1"/>
  <c r="Y20" i="1" s="1"/>
  <c r="AM23" i="27" l="1"/>
  <c r="AM24" i="27" s="1"/>
  <c r="AN21" i="27"/>
  <c r="AN18" i="27"/>
  <c r="AD21" i="27"/>
  <c r="AM23" i="26"/>
  <c r="AM24" i="26" s="1"/>
  <c r="AN21" i="26"/>
  <c r="AN18" i="26"/>
  <c r="AD21" i="26"/>
  <c r="AO23" i="25"/>
  <c r="AO24" i="25" s="1"/>
  <c r="AP18" i="25"/>
  <c r="AF21" i="25"/>
  <c r="AE24" i="25"/>
  <c r="AD21" i="24"/>
  <c r="AC24" i="24"/>
  <c r="AN18" i="24"/>
  <c r="AM23" i="24"/>
  <c r="AM24" i="24" s="1"/>
  <c r="AM23" i="23"/>
  <c r="AN18" i="23"/>
  <c r="AD21" i="23"/>
  <c r="AC24" i="23"/>
  <c r="AD21" i="17"/>
  <c r="AC24" i="17"/>
  <c r="AC25" i="17" s="1"/>
  <c r="AM23" i="17"/>
  <c r="AN18" i="17"/>
  <c r="AB25" i="17"/>
  <c r="AF21" i="16"/>
  <c r="AE24" i="16"/>
  <c r="AP18" i="16"/>
  <c r="AO23" i="16"/>
  <c r="AO24" i="16" s="1"/>
  <c r="AP18" i="15"/>
  <c r="AO23" i="15"/>
  <c r="AO24" i="15" s="1"/>
  <c r="AF21" i="15"/>
  <c r="AE24" i="15"/>
  <c r="AE25" i="15" s="1"/>
  <c r="AD25" i="15"/>
  <c r="T19" i="2"/>
  <c r="S22" i="2"/>
  <c r="AM18" i="14"/>
  <c r="AL21" i="14"/>
  <c r="AL22" i="14" s="1"/>
  <c r="AB23" i="14"/>
  <c r="AO18" i="13"/>
  <c r="AN21" i="13"/>
  <c r="AN22" i="13" s="1"/>
  <c r="AL21" i="12"/>
  <c r="AL22" i="12" s="1"/>
  <c r="AM18" i="12"/>
  <c r="AB21" i="2"/>
  <c r="Z18" i="1"/>
  <c r="Z20" i="1" s="1"/>
  <c r="AN23" i="27" l="1"/>
  <c r="AN24" i="27" s="1"/>
  <c r="AO18" i="27"/>
  <c r="AE21" i="27"/>
  <c r="AD24" i="27"/>
  <c r="AD25" i="27" s="1"/>
  <c r="AO21" i="27"/>
  <c r="AN23" i="26"/>
  <c r="AN24" i="26" s="1"/>
  <c r="AO18" i="26"/>
  <c r="AE21" i="26"/>
  <c r="AD24" i="26"/>
  <c r="AD25" i="26" s="1"/>
  <c r="AO21" i="26"/>
  <c r="AE25" i="25"/>
  <c r="AG21" i="25"/>
  <c r="AF24" i="25"/>
  <c r="AF25" i="25" s="1"/>
  <c r="AQ18" i="25"/>
  <c r="AP23" i="25"/>
  <c r="AP24" i="25" s="1"/>
  <c r="AC25" i="24"/>
  <c r="AO18" i="24"/>
  <c r="AN23" i="24"/>
  <c r="AN24" i="24" s="1"/>
  <c r="AE21" i="24"/>
  <c r="AD24" i="24"/>
  <c r="AE21" i="23"/>
  <c r="AD24" i="23"/>
  <c r="AD25" i="23" s="1"/>
  <c r="AO18" i="23"/>
  <c r="AN23" i="23"/>
  <c r="AC25" i="23"/>
  <c r="AN23" i="17"/>
  <c r="AO18" i="17"/>
  <c r="AE21" i="17"/>
  <c r="AD24" i="17"/>
  <c r="AE25" i="16"/>
  <c r="AP23" i="16"/>
  <c r="AP24" i="16" s="1"/>
  <c r="AQ18" i="16"/>
  <c r="AG21" i="16"/>
  <c r="AF24" i="16"/>
  <c r="AP23" i="15"/>
  <c r="AP24" i="15" s="1"/>
  <c r="AQ18" i="15"/>
  <c r="AG21" i="15"/>
  <c r="AF24" i="15"/>
  <c r="U19" i="2"/>
  <c r="T22" i="2"/>
  <c r="AM21" i="14"/>
  <c r="AM22" i="14" s="1"/>
  <c r="AN18" i="14"/>
  <c r="AP18" i="13"/>
  <c r="AO21" i="13"/>
  <c r="AO22" i="13" s="1"/>
  <c r="AN18" i="12"/>
  <c r="AM21" i="12"/>
  <c r="AM22" i="12" s="1"/>
  <c r="AC21" i="2"/>
  <c r="AA18" i="1"/>
  <c r="AA20" i="1" s="1"/>
  <c r="AF21" i="27" l="1"/>
  <c r="AE24" i="27"/>
  <c r="AE25" i="27" s="1"/>
  <c r="AP21" i="27"/>
  <c r="AO23" i="27"/>
  <c r="AO24" i="27" s="1"/>
  <c r="AP18" i="27"/>
  <c r="AF21" i="26"/>
  <c r="AE24" i="26"/>
  <c r="AE25" i="26" s="1"/>
  <c r="AP21" i="26"/>
  <c r="AO23" i="26"/>
  <c r="AO24" i="26" s="1"/>
  <c r="AP18" i="26"/>
  <c r="AQ23" i="25"/>
  <c r="AQ24" i="25" s="1"/>
  <c r="AR18" i="25"/>
  <c r="AH21" i="25"/>
  <c r="AG24" i="25"/>
  <c r="AD25" i="24"/>
  <c r="AF21" i="24"/>
  <c r="AE24" i="24"/>
  <c r="AE25" i="24" s="1"/>
  <c r="AO23" i="24"/>
  <c r="AO24" i="24" s="1"/>
  <c r="AP18" i="24"/>
  <c r="AO23" i="23"/>
  <c r="AP18" i="23"/>
  <c r="AF21" i="23"/>
  <c r="AE24" i="23"/>
  <c r="AF21" i="17"/>
  <c r="AE24" i="17"/>
  <c r="AE25" i="17" s="1"/>
  <c r="AO23" i="17"/>
  <c r="AP18" i="17"/>
  <c r="AD25" i="17"/>
  <c r="AR18" i="16"/>
  <c r="AQ23" i="16"/>
  <c r="AQ24" i="16" s="1"/>
  <c r="AF25" i="16"/>
  <c r="AH21" i="16"/>
  <c r="AG24" i="16"/>
  <c r="AR18" i="15"/>
  <c r="AQ23" i="15"/>
  <c r="AQ24" i="15" s="1"/>
  <c r="AH21" i="15"/>
  <c r="AG24" i="15"/>
  <c r="AG25" i="15" s="1"/>
  <c r="AF25" i="15"/>
  <c r="V19" i="2"/>
  <c r="U22" i="2"/>
  <c r="AD23" i="14"/>
  <c r="AO18" i="14"/>
  <c r="AN21" i="14"/>
  <c r="AN22" i="14" s="1"/>
  <c r="AC23" i="14"/>
  <c r="AP21" i="13"/>
  <c r="AP22" i="13" s="1"/>
  <c r="AQ18" i="13"/>
  <c r="AO18" i="12"/>
  <c r="AN21" i="12"/>
  <c r="AN22" i="12" s="1"/>
  <c r="AD21" i="2"/>
  <c r="AB18" i="1"/>
  <c r="AB20" i="1" s="1"/>
  <c r="R19" i="1"/>
  <c r="AA21" i="1"/>
  <c r="AP23" i="27" l="1"/>
  <c r="AP24" i="27" s="1"/>
  <c r="AQ18" i="27"/>
  <c r="AF24" i="27"/>
  <c r="AG21" i="27"/>
  <c r="AQ21" i="27"/>
  <c r="AP23" i="26"/>
  <c r="AP24" i="26" s="1"/>
  <c r="AQ18" i="26"/>
  <c r="AF24" i="26"/>
  <c r="AG21" i="26"/>
  <c r="AQ21" i="26"/>
  <c r="AG25" i="25"/>
  <c r="AS18" i="25"/>
  <c r="AS23" i="25" s="1"/>
  <c r="AS24" i="25" s="1"/>
  <c r="AR23" i="25"/>
  <c r="AR24" i="25" s="1"/>
  <c r="AI21" i="25"/>
  <c r="AH24" i="25"/>
  <c r="AG21" i="24"/>
  <c r="AF24" i="24"/>
  <c r="AQ18" i="24"/>
  <c r="AP23" i="24"/>
  <c r="AP24" i="24" s="1"/>
  <c r="AG21" i="23"/>
  <c r="AF24" i="23"/>
  <c r="AF25" i="23" s="1"/>
  <c r="AQ18" i="23"/>
  <c r="AP23" i="23"/>
  <c r="AE25" i="23"/>
  <c r="AP23" i="17"/>
  <c r="AQ18" i="17"/>
  <c r="AG21" i="17"/>
  <c r="AF24" i="17"/>
  <c r="AI21" i="16"/>
  <c r="AH24" i="16"/>
  <c r="AS18" i="16"/>
  <c r="AS23" i="16" s="1"/>
  <c r="AS24" i="16" s="1"/>
  <c r="AR23" i="16"/>
  <c r="AR24" i="16" s="1"/>
  <c r="AG25" i="16"/>
  <c r="AS18" i="15"/>
  <c r="AS23" i="15" s="1"/>
  <c r="AS24" i="15" s="1"/>
  <c r="AR23" i="15"/>
  <c r="AR24" i="15" s="1"/>
  <c r="AI21" i="15"/>
  <c r="AH24" i="15"/>
  <c r="W19" i="2"/>
  <c r="V22" i="2"/>
  <c r="AO21" i="14"/>
  <c r="AO22" i="14" s="1"/>
  <c r="AP18" i="14"/>
  <c r="AE23" i="14"/>
  <c r="AQ21" i="13"/>
  <c r="AQ22" i="13" s="1"/>
  <c r="AR18" i="13"/>
  <c r="AP18" i="12"/>
  <c r="AO21" i="12"/>
  <c r="AO22" i="12" s="1"/>
  <c r="AE21" i="2"/>
  <c r="S19" i="1"/>
  <c r="R21" i="1"/>
  <c r="R22" i="1" s="1"/>
  <c r="AC18" i="1"/>
  <c r="AC20" i="1" s="1"/>
  <c r="AF25" i="27" l="1"/>
  <c r="AR21" i="27"/>
  <c r="AQ23" i="27"/>
  <c r="AQ24" i="27" s="1"/>
  <c r="AR18" i="27"/>
  <c r="AR23" i="27" s="1"/>
  <c r="AG24" i="27"/>
  <c r="AH21" i="27"/>
  <c r="AR21" i="26"/>
  <c r="AQ23" i="26"/>
  <c r="AQ24" i="26" s="1"/>
  <c r="AR18" i="26"/>
  <c r="AF25" i="26"/>
  <c r="AH21" i="26"/>
  <c r="AG24" i="26"/>
  <c r="AJ21" i="25"/>
  <c r="AI24" i="25"/>
  <c r="AI25" i="25" s="1"/>
  <c r="AH25" i="25"/>
  <c r="AH21" i="24"/>
  <c r="AG24" i="24"/>
  <c r="AR18" i="24"/>
  <c r="AQ23" i="24"/>
  <c r="AQ24" i="24" s="1"/>
  <c r="AF25" i="24"/>
  <c r="AQ23" i="23"/>
  <c r="AR18" i="23"/>
  <c r="AH21" i="23"/>
  <c r="AG24" i="23"/>
  <c r="AG25" i="23" s="1"/>
  <c r="AH21" i="17"/>
  <c r="AG24" i="17"/>
  <c r="AG25" i="17" s="1"/>
  <c r="AQ23" i="17"/>
  <c r="AR18" i="17"/>
  <c r="AF25" i="17"/>
  <c r="AH25" i="16"/>
  <c r="AJ21" i="16"/>
  <c r="AJ24" i="16" s="1"/>
  <c r="AI24" i="16"/>
  <c r="AH25" i="15"/>
  <c r="AJ21" i="15"/>
  <c r="AJ24" i="15" s="1"/>
  <c r="AI24" i="15"/>
  <c r="AI25" i="15" s="1"/>
  <c r="X19" i="2"/>
  <c r="W22" i="2"/>
  <c r="AQ18" i="14"/>
  <c r="AP21" i="14"/>
  <c r="AP22" i="14" s="1"/>
  <c r="AF23" i="14"/>
  <c r="AS18" i="13"/>
  <c r="AS21" i="13" s="1"/>
  <c r="AS22" i="13" s="1"/>
  <c r="AR21" i="13"/>
  <c r="AR22" i="13" s="1"/>
  <c r="AP21" i="12"/>
  <c r="AP22" i="12" s="1"/>
  <c r="AQ18" i="12"/>
  <c r="AF21" i="2"/>
  <c r="AD18" i="1"/>
  <c r="AD20" i="1" s="1"/>
  <c r="T19" i="1"/>
  <c r="S21" i="1"/>
  <c r="S22" i="1" s="1"/>
  <c r="AP25" i="15" l="1"/>
  <c r="AO25" i="15"/>
  <c r="AS25" i="15"/>
  <c r="AQ25" i="15"/>
  <c r="E12" i="15"/>
  <c r="E14" i="15" s="1"/>
  <c r="E12" i="16"/>
  <c r="E14" i="16" s="1"/>
  <c r="AR25" i="16"/>
  <c r="AR24" i="27"/>
  <c r="AS18" i="27"/>
  <c r="AS23" i="27" s="1"/>
  <c r="AI21" i="27"/>
  <c r="AH24" i="27"/>
  <c r="AH25" i="27" s="1"/>
  <c r="AG25" i="27"/>
  <c r="AS21" i="27"/>
  <c r="AR23" i="26"/>
  <c r="AR24" i="26" s="1"/>
  <c r="AS18" i="26"/>
  <c r="AS23" i="26" s="1"/>
  <c r="AS21" i="26"/>
  <c r="AI21" i="26"/>
  <c r="AH24" i="26"/>
  <c r="AG25" i="26"/>
  <c r="AK21" i="25"/>
  <c r="AK24" i="25" s="1"/>
  <c r="AJ24" i="25"/>
  <c r="AG25" i="24"/>
  <c r="AI21" i="24"/>
  <c r="AH24" i="24"/>
  <c r="AS18" i="24"/>
  <c r="AS23" i="24" s="1"/>
  <c r="AS24" i="24" s="1"/>
  <c r="AR23" i="24"/>
  <c r="AR24" i="24" s="1"/>
  <c r="AI21" i="23"/>
  <c r="AI24" i="23" s="1"/>
  <c r="AH24" i="23"/>
  <c r="AH25" i="23" s="1"/>
  <c r="AS18" i="23"/>
  <c r="AR23" i="23"/>
  <c r="AR23" i="17"/>
  <c r="AS18" i="17"/>
  <c r="AI21" i="17"/>
  <c r="AI24" i="17" s="1"/>
  <c r="AH24" i="17"/>
  <c r="AH25" i="17" s="1"/>
  <c r="AJ25" i="16"/>
  <c r="AK25" i="16"/>
  <c r="AL25" i="16"/>
  <c r="AS25" i="16"/>
  <c r="AM25" i="16"/>
  <c r="AI25" i="16"/>
  <c r="AP25" i="16"/>
  <c r="AQ25" i="16"/>
  <c r="AN25" i="16"/>
  <c r="AO25" i="16"/>
  <c r="AT25" i="16"/>
  <c r="AT25" i="15"/>
  <c r="AJ25" i="15"/>
  <c r="AN25" i="15"/>
  <c r="AK25" i="15"/>
  <c r="AL25" i="15"/>
  <c r="AM25" i="15"/>
  <c r="AR25" i="15"/>
  <c r="Y19" i="2"/>
  <c r="X22" i="2"/>
  <c r="AQ21" i="14"/>
  <c r="AQ22" i="14" s="1"/>
  <c r="AR18" i="14"/>
  <c r="AR18" i="12"/>
  <c r="AQ21" i="12"/>
  <c r="AQ22" i="12" s="1"/>
  <c r="AG21" i="2"/>
  <c r="U19" i="1"/>
  <c r="T21" i="1"/>
  <c r="T22" i="1" s="1"/>
  <c r="AE18" i="1"/>
  <c r="AE20" i="1" s="1"/>
  <c r="AS24" i="27" l="1"/>
  <c r="AT21" i="27"/>
  <c r="AJ21" i="27"/>
  <c r="AI24" i="27"/>
  <c r="AJ21" i="26"/>
  <c r="AI24" i="26"/>
  <c r="AI25" i="26" s="1"/>
  <c r="AS24" i="26"/>
  <c r="AT21" i="26"/>
  <c r="AH25" i="26"/>
  <c r="AJ25" i="25"/>
  <c r="AR25" i="25"/>
  <c r="AP25" i="25"/>
  <c r="AQ25" i="25"/>
  <c r="AO25" i="25"/>
  <c r="AS25" i="25"/>
  <c r="AT25" i="25"/>
  <c r="AK25" i="25"/>
  <c r="AL25" i="25"/>
  <c r="AM25" i="25"/>
  <c r="AN25" i="25"/>
  <c r="E12" i="25"/>
  <c r="E14" i="25" s="1"/>
  <c r="AU25" i="25"/>
  <c r="AJ21" i="24"/>
  <c r="AI24" i="24"/>
  <c r="AH25" i="24"/>
  <c r="AS23" i="23"/>
  <c r="AS24" i="23" s="1"/>
  <c r="AK21" i="23"/>
  <c r="AI25" i="23"/>
  <c r="AJ25" i="23"/>
  <c r="AI25" i="17"/>
  <c r="AJ25" i="17"/>
  <c r="AS23" i="17"/>
  <c r="AS24" i="17" s="1"/>
  <c r="AK21" i="17"/>
  <c r="Z19" i="2"/>
  <c r="Z22" i="2" s="1"/>
  <c r="Y22" i="2"/>
  <c r="AS18" i="14"/>
  <c r="AS21" i="14" s="1"/>
  <c r="AS22" i="14" s="1"/>
  <c r="AR21" i="14"/>
  <c r="AR22" i="14" s="1"/>
  <c r="AH23" i="14"/>
  <c r="AG23" i="14"/>
  <c r="AS18" i="12"/>
  <c r="AS21" i="12" s="1"/>
  <c r="AS22" i="12" s="1"/>
  <c r="AR21" i="12"/>
  <c r="AR22" i="12" s="1"/>
  <c r="AH21" i="2"/>
  <c r="AF18" i="1"/>
  <c r="AF20" i="1" s="1"/>
  <c r="U21" i="1"/>
  <c r="V19" i="1"/>
  <c r="AI25" i="27" l="1"/>
  <c r="AJ24" i="27"/>
  <c r="AJ25" i="27" s="1"/>
  <c r="AK21" i="27"/>
  <c r="AT24" i="27"/>
  <c r="AU21" i="27"/>
  <c r="AU24" i="27" s="1"/>
  <c r="AJ24" i="26"/>
  <c r="AK21" i="26"/>
  <c r="AT24" i="26"/>
  <c r="AU21" i="26"/>
  <c r="AU24" i="26" s="1"/>
  <c r="AK21" i="24"/>
  <c r="AK24" i="24" s="1"/>
  <c r="AJ24" i="24"/>
  <c r="AN25" i="24" s="1"/>
  <c r="AI25" i="24"/>
  <c r="AL21" i="23"/>
  <c r="AK24" i="23"/>
  <c r="AK25" i="23" s="1"/>
  <c r="AL21" i="17"/>
  <c r="AK24" i="17"/>
  <c r="AK25" i="17" s="1"/>
  <c r="AI21" i="2"/>
  <c r="U22" i="1"/>
  <c r="W19" i="1"/>
  <c r="V21" i="1"/>
  <c r="V22" i="1" s="1"/>
  <c r="AG18" i="1"/>
  <c r="AG20" i="1" s="1"/>
  <c r="AS25" i="24" l="1"/>
  <c r="AL21" i="27"/>
  <c r="AL24" i="27" s="1"/>
  <c r="AK24" i="27"/>
  <c r="AT25" i="27" s="1"/>
  <c r="AL21" i="26"/>
  <c r="AL24" i="26" s="1"/>
  <c r="AK24" i="26"/>
  <c r="AJ25" i="26"/>
  <c r="AJ25" i="24"/>
  <c r="AP25" i="24"/>
  <c r="E12" i="24"/>
  <c r="E14" i="24" s="1"/>
  <c r="AT25" i="24"/>
  <c r="AR25" i="24"/>
  <c r="AU25" i="24"/>
  <c r="AQ25" i="24"/>
  <c r="AK25" i="24"/>
  <c r="AL25" i="24"/>
  <c r="AO25" i="24"/>
  <c r="AM25" i="24"/>
  <c r="AM21" i="23"/>
  <c r="AL24" i="23"/>
  <c r="AM21" i="17"/>
  <c r="AL24" i="17"/>
  <c r="E14" i="14"/>
  <c r="AU23" i="14"/>
  <c r="AV23" i="14"/>
  <c r="AN23" i="14"/>
  <c r="AJ23" i="14"/>
  <c r="AK23" i="14"/>
  <c r="AL23" i="14"/>
  <c r="AM23" i="14"/>
  <c r="AO23" i="14"/>
  <c r="AT23" i="14"/>
  <c r="AS23" i="14"/>
  <c r="AQ23" i="14"/>
  <c r="AI23" i="14"/>
  <c r="AP23" i="14"/>
  <c r="AR23" i="14"/>
  <c r="AJ21" i="2"/>
  <c r="AH18" i="1"/>
  <c r="AH20" i="1" s="1"/>
  <c r="X19" i="1"/>
  <c r="W21" i="1"/>
  <c r="W22" i="1" s="1"/>
  <c r="AU25" i="26" l="1"/>
  <c r="AP25" i="26"/>
  <c r="AV25" i="27"/>
  <c r="E12" i="27"/>
  <c r="E14" i="27" s="1"/>
  <c r="AU25" i="27"/>
  <c r="AK25" i="27"/>
  <c r="AS25" i="27"/>
  <c r="AQ25" i="27"/>
  <c r="AR25" i="27"/>
  <c r="AP25" i="27"/>
  <c r="AL25" i="27"/>
  <c r="AO25" i="27"/>
  <c r="AM25" i="27"/>
  <c r="AN25" i="27"/>
  <c r="E12" i="26"/>
  <c r="E14" i="26" s="1"/>
  <c r="AK25" i="26"/>
  <c r="AR25" i="26"/>
  <c r="AS25" i="26"/>
  <c r="AV25" i="26"/>
  <c r="AL25" i="26"/>
  <c r="AN25" i="26"/>
  <c r="AM25" i="26"/>
  <c r="AO25" i="26"/>
  <c r="AQ25" i="26"/>
  <c r="AT25" i="26"/>
  <c r="AL25" i="23"/>
  <c r="AN21" i="23"/>
  <c r="AM24" i="23"/>
  <c r="AM25" i="23" s="1"/>
  <c r="AL25" i="17"/>
  <c r="AN21" i="17"/>
  <c r="AM24" i="17"/>
  <c r="AL19" i="2"/>
  <c r="AM19" i="2" s="1"/>
  <c r="AN19" i="2" s="1"/>
  <c r="AO19" i="2" s="1"/>
  <c r="AP19" i="2" s="1"/>
  <c r="AQ19" i="2" s="1"/>
  <c r="AR19" i="2" s="1"/>
  <c r="AS19" i="2" s="1"/>
  <c r="AB19" i="2"/>
  <c r="AK21" i="2"/>
  <c r="AK22" i="2" s="1"/>
  <c r="Y19" i="1"/>
  <c r="X21" i="1"/>
  <c r="X22" i="1" s="1"/>
  <c r="AI18" i="1"/>
  <c r="AI20" i="1" s="1"/>
  <c r="AM25" i="17" l="1"/>
  <c r="AO21" i="23"/>
  <c r="AN24" i="23"/>
  <c r="AO21" i="17"/>
  <c r="AN24" i="17"/>
  <c r="AC19" i="2"/>
  <c r="AB22" i="2"/>
  <c r="AL21" i="2"/>
  <c r="AL22" i="2" s="1"/>
  <c r="AJ18" i="1"/>
  <c r="AJ20" i="1" s="1"/>
  <c r="Z19" i="1"/>
  <c r="Z21" i="1" s="1"/>
  <c r="Y21" i="1"/>
  <c r="Y22" i="1" s="1"/>
  <c r="AN25" i="23" l="1"/>
  <c r="AP21" i="23"/>
  <c r="AO24" i="23"/>
  <c r="AO25" i="23" s="1"/>
  <c r="AN25" i="17"/>
  <c r="AP21" i="17"/>
  <c r="AO24" i="17"/>
  <c r="AD19" i="2"/>
  <c r="AC22" i="2"/>
  <c r="AM21" i="2"/>
  <c r="AM22" i="2" s="1"/>
  <c r="Z22" i="1"/>
  <c r="AA22" i="1"/>
  <c r="AK18" i="1"/>
  <c r="AK20" i="1" s="1"/>
  <c r="AQ21" i="23" l="1"/>
  <c r="AP24" i="23"/>
  <c r="AO25" i="17"/>
  <c r="AQ21" i="17"/>
  <c r="AP24" i="17"/>
  <c r="AP25" i="17" s="1"/>
  <c r="AE19" i="2"/>
  <c r="AD22" i="2"/>
  <c r="AN21" i="2"/>
  <c r="AN22" i="2" s="1"/>
  <c r="AL18" i="1"/>
  <c r="AL20" i="1" s="1"/>
  <c r="AK21" i="1"/>
  <c r="AB19" i="1"/>
  <c r="AL19" i="1"/>
  <c r="AR21" i="23" l="1"/>
  <c r="AR24" i="23" s="1"/>
  <c r="AQ24" i="23"/>
  <c r="AQ25" i="23" s="1"/>
  <c r="AP25" i="23"/>
  <c r="AR21" i="17"/>
  <c r="AR24" i="17" s="1"/>
  <c r="E12" i="17" s="1"/>
  <c r="AQ24" i="17"/>
  <c r="AF19" i="2"/>
  <c r="AE22" i="2"/>
  <c r="AO21" i="2"/>
  <c r="AO22" i="2" s="1"/>
  <c r="AM19" i="1"/>
  <c r="AN19" i="1" s="1"/>
  <c r="AO19" i="1" s="1"/>
  <c r="AC19" i="1"/>
  <c r="AB21" i="1"/>
  <c r="AB22" i="1" s="1"/>
  <c r="AL21" i="1"/>
  <c r="AM18" i="1"/>
  <c r="AM20" i="1" s="1"/>
  <c r="AS25" i="23" l="1"/>
  <c r="AR25" i="23"/>
  <c r="AT25" i="23"/>
  <c r="E12" i="23"/>
  <c r="E14" i="23" s="1"/>
  <c r="AQ25" i="17"/>
  <c r="AS25" i="17"/>
  <c r="AT25" i="17"/>
  <c r="E14" i="17"/>
  <c r="AR25" i="17"/>
  <c r="AG19" i="2"/>
  <c r="AF22" i="2"/>
  <c r="AP21" i="2"/>
  <c r="AP22" i="2" s="1"/>
  <c r="AN18" i="1"/>
  <c r="AN20" i="1" s="1"/>
  <c r="AM21" i="1"/>
  <c r="AP19" i="1"/>
  <c r="AD19" i="1"/>
  <c r="AC21" i="1"/>
  <c r="AC22" i="1" s="1"/>
  <c r="AH19" i="2" l="1"/>
  <c r="AG22" i="2"/>
  <c r="AQ21" i="2"/>
  <c r="AQ22" i="2" s="1"/>
  <c r="AQ19" i="1"/>
  <c r="AE19" i="1"/>
  <c r="AD21" i="1"/>
  <c r="AO18" i="1"/>
  <c r="AO20" i="1" s="1"/>
  <c r="AN21" i="1"/>
  <c r="AI19" i="2" l="1"/>
  <c r="AH22" i="2"/>
  <c r="AS21" i="2"/>
  <c r="AS22" i="2" s="1"/>
  <c r="AR21" i="2"/>
  <c r="AR22" i="2" s="1"/>
  <c r="AF19" i="1"/>
  <c r="AE21" i="1"/>
  <c r="AP18" i="1"/>
  <c r="AP20" i="1" s="1"/>
  <c r="AO21" i="1"/>
  <c r="AD22" i="1"/>
  <c r="AR19" i="1"/>
  <c r="AS19" i="1" s="1"/>
  <c r="AJ19" i="2" l="1"/>
  <c r="AJ22" i="2" s="1"/>
  <c r="AI22" i="2"/>
  <c r="AQ18" i="1"/>
  <c r="AQ20" i="1" s="1"/>
  <c r="AP21" i="1"/>
  <c r="AE22" i="1"/>
  <c r="AG19" i="1"/>
  <c r="AF21" i="1"/>
  <c r="AH19" i="1" l="1"/>
  <c r="AG21" i="1"/>
  <c r="AR18" i="1"/>
  <c r="AR20" i="1" s="1"/>
  <c r="AQ21" i="1"/>
  <c r="AF22" i="1"/>
  <c r="AG22" i="1" l="1"/>
  <c r="AI19" i="1"/>
  <c r="AH21" i="1"/>
  <c r="AS18" i="1"/>
  <c r="AS20" i="1" s="1"/>
  <c r="AR21" i="1"/>
  <c r="AT21" i="1" l="1"/>
  <c r="AS21" i="1"/>
  <c r="AH22" i="1"/>
  <c r="AJ19" i="1"/>
  <c r="AJ21" i="1" s="1"/>
  <c r="AI21" i="1"/>
  <c r="AP22" i="1" l="1"/>
  <c r="AN22" i="1"/>
  <c r="AS22" i="1"/>
  <c r="AT22" i="1"/>
  <c r="AI22" i="1"/>
  <c r="AQ22" i="1"/>
  <c r="E12" i="1"/>
  <c r="E14" i="1" s="1"/>
  <c r="AJ22" i="1"/>
  <c r="AL22" i="1"/>
  <c r="AK22" i="1"/>
  <c r="AM22" i="1"/>
  <c r="AO22" i="1"/>
  <c r="AR22" i="1"/>
  <c r="N23" i="2"/>
  <c r="T23" i="2" l="1"/>
  <c r="P23" i="2"/>
  <c r="AA23" i="2"/>
  <c r="O23" i="2"/>
  <c r="AJ23" i="2"/>
  <c r="AE23" i="2"/>
  <c r="S23" i="2"/>
  <c r="AH23" i="2"/>
  <c r="AN23" i="2"/>
  <c r="AM23" i="2"/>
  <c r="U23" i="2"/>
  <c r="AS23" i="2"/>
  <c r="E12" i="2"/>
  <c r="E14" i="2" s="1"/>
  <c r="Z23" i="2"/>
  <c r="AQ23" i="2"/>
  <c r="Y23" i="2"/>
  <c r="AF23" i="2"/>
  <c r="AP23" i="2"/>
  <c r="AT23" i="2"/>
  <c r="AR23" i="2"/>
  <c r="AD23" i="2"/>
  <c r="AC23" i="2"/>
  <c r="R23" i="2"/>
  <c r="X23" i="2"/>
  <c r="AG23" i="2"/>
  <c r="AO23" i="2"/>
  <c r="V23" i="2"/>
  <c r="AL23" i="2"/>
  <c r="AK23" i="2"/>
  <c r="W23" i="2"/>
  <c r="AB23" i="2"/>
  <c r="AI23" i="2"/>
  <c r="Q23" i="2"/>
  <c r="N23" i="12" l="1"/>
  <c r="P23" i="12" l="1"/>
  <c r="O23" i="12"/>
  <c r="R23" i="12" l="1"/>
  <c r="Q23" i="12" l="1"/>
  <c r="S23" i="12"/>
  <c r="T23" i="12" l="1"/>
  <c r="U23" i="12"/>
  <c r="W23" i="12" l="1"/>
  <c r="V23" i="12"/>
  <c r="X23" i="12" l="1"/>
  <c r="Z23" i="12" l="1"/>
  <c r="AB23" i="12"/>
  <c r="AA23" i="12"/>
  <c r="Y23" i="12"/>
  <c r="AC23" i="12"/>
  <c r="AD23" i="12" l="1"/>
  <c r="AF23" i="12" l="1"/>
  <c r="AE23" i="12"/>
  <c r="AG23" i="12" l="1"/>
  <c r="AH23" i="12" l="1"/>
  <c r="AI23" i="12" l="1"/>
  <c r="AK23" i="12" l="1"/>
  <c r="AJ23" i="12"/>
  <c r="AL23" i="12" l="1"/>
  <c r="AN23" i="12" l="1"/>
  <c r="AM23" i="12"/>
  <c r="AO23" i="12" l="1"/>
  <c r="AP23" i="12" l="1"/>
  <c r="AQ23" i="12" l="1"/>
  <c r="AR23" i="12" l="1"/>
  <c r="E12" i="12" l="1"/>
  <c r="E14" i="12" s="1"/>
  <c r="AU23" i="12"/>
  <c r="AT23" i="12"/>
  <c r="AS23" i="12"/>
  <c r="L19" i="13"/>
  <c r="M19" i="13" s="1"/>
  <c r="N19" i="13" s="1"/>
  <c r="O19" i="13" s="1"/>
  <c r="W23" i="13" l="1"/>
  <c r="T23" i="13"/>
  <c r="M23" i="13"/>
  <c r="O23" i="13"/>
  <c r="X23" i="13"/>
  <c r="Y23" i="13"/>
  <c r="R23" i="13"/>
  <c r="N23" i="13"/>
  <c r="Q23" i="13"/>
  <c r="P23" i="13"/>
  <c r="U23" i="13"/>
  <c r="L23" i="13"/>
  <c r="S23" i="13"/>
  <c r="Z23" i="13"/>
  <c r="V23" i="13"/>
  <c r="AA23" i="13" l="1"/>
  <c r="AC23" i="13" l="1"/>
  <c r="AB23" i="13"/>
  <c r="AD23" i="13"/>
  <c r="AE23" i="13" l="1"/>
  <c r="AG23" i="13" l="1"/>
  <c r="AF23" i="13"/>
  <c r="AJ23" i="13" l="1"/>
  <c r="AH23" i="13"/>
  <c r="AI23" i="13"/>
  <c r="AK23" i="13" l="1"/>
  <c r="AM23" i="13" l="1"/>
  <c r="AN23" i="13"/>
  <c r="AL23" i="13"/>
  <c r="AO23" i="13" l="1"/>
  <c r="AP23" i="13" l="1"/>
  <c r="AQ23" i="13"/>
  <c r="E12" i="13"/>
  <c r="AT23" i="13" l="1"/>
  <c r="AR23" i="13"/>
  <c r="AS23" i="13"/>
  <c r="E1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Wodrich, Nigel</author>
    <author>Srivatsan, Varun</author>
  </authors>
  <commentList>
    <comment ref="B15" authorId="0" shapeId="0" xr:uid="{E7205B28-FF33-4391-B84F-2D12E75F90AF}">
      <text>
        <r>
          <rPr>
            <b/>
            <sz val="9"/>
            <color indexed="81"/>
            <rFont val="Tahoma"/>
            <family val="2"/>
          </rPr>
          <t>Wodrich, Nigel:</t>
        </r>
        <r>
          <rPr>
            <sz val="9"/>
            <color indexed="81"/>
            <rFont val="Tahoma"/>
            <family val="2"/>
          </rPr>
          <t xml:space="preserve">
KM Q1 p. 21: "We have spent a cumulative total, net of contributions in aid of construction, of approximately $1.135.0 million on development of TMEP as of March 31, 2018 (December 31, 2017 - $930.0 million).</t>
        </r>
      </text>
    </comment>
    <comment ref="C15" authorId="0" shapeId="0" xr:uid="{97B4EDE1-5818-4F35-AB9D-3D6226DA8A6A}">
      <text>
        <r>
          <rPr>
            <b/>
            <sz val="9"/>
            <color indexed="81"/>
            <rFont val="Tahoma"/>
            <family val="2"/>
          </rPr>
          <t>Wodrich, Nigel:</t>
        </r>
        <r>
          <rPr>
            <sz val="9"/>
            <color indexed="81"/>
            <rFont val="Tahoma"/>
            <family val="2"/>
          </rPr>
          <t xml:space="preserve">
From Proxy 14-A filing + net in the comment in B5.</t>
        </r>
      </text>
    </comment>
    <comment ref="C17" authorId="0" shapeId="0" xr:uid="{4217B94B-D98E-47C4-B8EE-038CDB8989E2}">
      <text>
        <r>
          <rPr>
            <b/>
            <sz val="9"/>
            <color indexed="81"/>
            <rFont val="Tahoma"/>
            <family val="2"/>
          </rPr>
          <t>Wodrich, Nigel:</t>
        </r>
        <r>
          <rPr>
            <sz val="9"/>
            <color indexed="81"/>
            <rFont val="Tahoma"/>
            <family val="2"/>
          </rPr>
          <t xml:space="preserve">
Because of the delays in 2018, can expect that 2018 totals are actually lower, and delay costs in following years are higher.</t>
        </r>
      </text>
    </comment>
    <comment ref="D17" authorId="0" shapeId="0" xr:uid="{178AE8DC-F7B3-47FF-9259-C52239FAD7CD}">
      <text>
        <r>
          <rPr>
            <b/>
            <sz val="9"/>
            <color indexed="81"/>
            <rFont val="Tahoma"/>
            <family val="2"/>
          </rPr>
          <t>Wodrich, Nigel:</t>
        </r>
        <r>
          <rPr>
            <sz val="9"/>
            <color indexed="81"/>
            <rFont val="Tahoma"/>
            <family val="2"/>
          </rPr>
          <t xml:space="preserve">
Because of the delays in 2018, can expect that 2018 totals are actually lower, and delay costs in following years are higher.</t>
        </r>
      </text>
    </comment>
    <comment ref="E17" authorId="0" shapeId="0" xr:uid="{2A1B789D-7F69-4FEF-A8DA-892F60EC1D63}">
      <text>
        <r>
          <rPr>
            <b/>
            <sz val="9"/>
            <color indexed="81"/>
            <rFont val="Tahoma"/>
            <family val="2"/>
          </rPr>
          <t>Wodrich, Nigel:</t>
        </r>
        <r>
          <rPr>
            <sz val="9"/>
            <color indexed="81"/>
            <rFont val="Tahoma"/>
            <family val="2"/>
          </rPr>
          <t xml:space="preserve">
Because of the delays in 2018, can expect that 2018 totals are actually lower, and delay costs in following years are higher.</t>
        </r>
      </text>
    </comment>
    <comment ref="F17" authorId="0" shapeId="0" xr:uid="{3C871609-A9B9-44EC-BCE1-7D4D74F59116}">
      <text>
        <r>
          <rPr>
            <b/>
            <sz val="9"/>
            <color indexed="81"/>
            <rFont val="Tahoma"/>
            <family val="2"/>
          </rPr>
          <t>Wodrich, Nigel:</t>
        </r>
        <r>
          <rPr>
            <sz val="9"/>
            <color indexed="81"/>
            <rFont val="Tahoma"/>
            <family val="2"/>
          </rPr>
          <t xml:space="preserve">
Because of the delays in 2018, can expect that 2018 totals are actually lower, and delay costs in following years are higher.</t>
        </r>
      </text>
    </comment>
    <comment ref="G17" authorId="0" shapeId="0" xr:uid="{B7A11F7B-0683-4303-AB93-1F3817E85F74}">
      <text>
        <r>
          <rPr>
            <b/>
            <sz val="9"/>
            <color indexed="81"/>
            <rFont val="Tahoma"/>
            <family val="2"/>
          </rPr>
          <t>Wodrich, Nigel:</t>
        </r>
        <r>
          <rPr>
            <sz val="9"/>
            <color indexed="81"/>
            <rFont val="Tahoma"/>
            <family val="2"/>
          </rPr>
          <t xml:space="preserve">
Because of the delays in 2018, can expect that 2018 totals are actually lower, and delay costs in following years are higher.</t>
        </r>
      </text>
    </comment>
    <comment ref="B18" authorId="1" shapeId="0" xr:uid="{3489B30E-D051-49B9-84F3-7FA1469F6752}">
      <text>
        <r>
          <rPr>
            <b/>
            <sz val="9"/>
            <color indexed="81"/>
            <rFont val="Tahoma"/>
            <family val="2"/>
          </rPr>
          <t>Srivatsan, Varun:</t>
        </r>
        <r>
          <rPr>
            <sz val="9"/>
            <color indexed="81"/>
            <rFont val="Tahoma"/>
            <family val="2"/>
          </rPr>
          <t xml:space="preserve">
From NEB's most recent toll settlement with TM</t>
        </r>
      </text>
    </comment>
  </commentList>
</comments>
</file>

<file path=xl/sharedStrings.xml><?xml version="1.0" encoding="utf-8"?>
<sst xmlns="http://schemas.openxmlformats.org/spreadsheetml/2006/main" count="2241" uniqueCount="506">
  <si>
    <t>Kinder Morgan</t>
  </si>
  <si>
    <t xml:space="preserve"> </t>
  </si>
  <si>
    <t>Delta</t>
  </si>
  <si>
    <t>Total</t>
  </si>
  <si>
    <t>MPLX LP</t>
  </si>
  <si>
    <t>11.3x</t>
  </si>
  <si>
    <t>-</t>
  </si>
  <si>
    <t>Columbia Pipeline Group</t>
  </si>
  <si>
    <t>TransCanada</t>
  </si>
  <si>
    <t>Columbia Pipeline Partners</t>
  </si>
  <si>
    <t>Ratio</t>
  </si>
  <si>
    <t>Southern Union Company</t>
  </si>
  <si>
    <t>Energy Transfer Equity</t>
  </si>
  <si>
    <t>Kinder Morgan Energy Partners</t>
  </si>
  <si>
    <t>Tallgrass Energy Partners</t>
  </si>
  <si>
    <t>Spectra Energy</t>
  </si>
  <si>
    <t>Chevron Corporation and Chevron Midstream Pipelines</t>
  </si>
  <si>
    <t>EnLink Midstream Operating LP</t>
  </si>
  <si>
    <t>Mesquite Pipeline Company and Chevron Corporation</t>
  </si>
  <si>
    <t>ONEOK Partners LP</t>
  </si>
  <si>
    <t>Occidental Petroleum Corp.</t>
  </si>
  <si>
    <t>Plains All American Pipeline</t>
  </si>
  <si>
    <t>Enbridge Inc.</t>
  </si>
  <si>
    <t>Enbridge Energy Partners LP</t>
  </si>
  <si>
    <t>NET Midstream</t>
  </si>
  <si>
    <t>NextEra Energy</t>
  </si>
  <si>
    <t>Sempra Energy</t>
  </si>
  <si>
    <t>Tallgrass Energy</t>
  </si>
  <si>
    <t>Kinder Morgan Inc.</t>
  </si>
  <si>
    <t>Southern Company</t>
  </si>
  <si>
    <t>Devon Energy Corp</t>
  </si>
  <si>
    <t>Wolf Midstream</t>
  </si>
  <si>
    <t>Enbridge</t>
  </si>
  <si>
    <t>Veresen</t>
  </si>
  <si>
    <t xml:space="preserve">Pembina Pipeline Corp. </t>
  </si>
  <si>
    <t>MEG Energy</t>
  </si>
  <si>
    <t>Source 3</t>
  </si>
  <si>
    <t>Source 2</t>
  </si>
  <si>
    <t>Source 1</t>
  </si>
  <si>
    <t>Date</t>
  </si>
  <si>
    <t>date</t>
  </si>
  <si>
    <t>wti</t>
  </si>
  <si>
    <t>wcs</t>
  </si>
  <si>
    <t>lls</t>
  </si>
  <si>
    <t>maya</t>
  </si>
  <si>
    <t>Edmonton</t>
  </si>
  <si>
    <t>Burnaby</t>
  </si>
  <si>
    <t>Westridge</t>
  </si>
  <si>
    <t>Latitude</t>
  </si>
  <si>
    <t>Longitude</t>
  </si>
  <si>
    <t>Trans Mountain</t>
  </si>
  <si>
    <t>Sumas</t>
  </si>
  <si>
    <t xml:space="preserve">https://www.sec.gov/Archives/edgar/data/1506307/000150630718000010/kmi-2017x10k.htm </t>
  </si>
  <si>
    <t>Source</t>
  </si>
  <si>
    <t>https://www.duffandphelps.com/insights/publications/cost-of-capital/us-equity-risk-premium-recommendation-2017</t>
  </si>
  <si>
    <t>AltaGas Ltd</t>
  </si>
  <si>
    <t xml:space="preserve">TransCanada Corp. </t>
  </si>
  <si>
    <t>https://ca.finance.yahoo.com/quote/GEI.TO/key-statistics?p=GEI.TO&amp;.tsrc=fin-srch</t>
  </si>
  <si>
    <t>https://ca.finance.yahoo.com/quote/KEY.TO/key-statistics?p=KEY.TO&amp;.tsrc=fin-srch</t>
  </si>
  <si>
    <t>https://ca.finance.yahoo.com/quote/ALA.TO/key-statistics?p=ALA.TO&amp;.tsrc=fin-srch</t>
  </si>
  <si>
    <t>https://ca.finance.yahoo.com/quote/IPL.TO/key-statistics?p=IPL.TO&amp;.tsrc=fin-srch</t>
  </si>
  <si>
    <t>https://ca.finance.yahoo.com/quote/PPL.TO/key-statistics?p=PPL.TO&amp;.tsrc=fin-srch</t>
  </si>
  <si>
    <t xml:space="preserve">https://ca.finance.yahoo.com/quote/TRP.TO/key-statistics?p=TRP.TO </t>
  </si>
  <si>
    <t>https://ca.finance.yahoo.com/quote/ENB.TO/key-statistics?p=ENB.TO</t>
  </si>
  <si>
    <t>August 2018 Outlook</t>
  </si>
  <si>
    <t>Original Outlook - TMEP Level 1 Master Schedule</t>
  </si>
  <si>
    <t>Original Outlook - Westeridge Marine Terminal Terminal Construction Schedule</t>
  </si>
  <si>
    <t>Original Outlook - Appendix A: TMEP Construction Summary Schedule</t>
  </si>
  <si>
    <t>Sources</t>
  </si>
  <si>
    <t>Lower Mainland</t>
  </si>
  <si>
    <t>Pipeline</t>
  </si>
  <si>
    <t>NB</t>
  </si>
  <si>
    <t>Type</t>
  </si>
  <si>
    <t>https://vancouversun.com/news/local-news/trans-mountain-ceo-says-pipeline-construction-could-restart-in-2019-on-neb-timeline</t>
  </si>
  <si>
    <t>Trans Mountain CEO projects earliest resumption summer 2019, construction would take 30 months depending on seasonal adjustments</t>
  </si>
  <si>
    <t>https://www.jwnenergy.com/article/2018/8/trans-mountain-suspending-expansion-construction-activities/</t>
  </si>
  <si>
    <t>Trans Mountain suspended indefinitely, pending NEB review</t>
  </si>
  <si>
    <t>https://www.jwnenergy.com/article/2018/8/construction-officially-underway-trans-mountain-pipeline-expansion/</t>
  </si>
  <si>
    <t>Clearing Activities beginning 7-11 months behind original schedule</t>
  </si>
  <si>
    <t>https://www.cbc.ca/news/canada/calgary/kinder-morgan-trans-mountain-pipeline-update-1.4492220</t>
  </si>
  <si>
    <t>Trans Mountain delayed by at least 3 months</t>
  </si>
  <si>
    <t>Trans Mountain expected in-service date: September 30, 2020</t>
  </si>
  <si>
    <t>Evidence</t>
  </si>
  <si>
    <t>2030Q4</t>
  </si>
  <si>
    <t>2030Q3</t>
  </si>
  <si>
    <t>2030Q2</t>
  </si>
  <si>
    <t>2030Q1</t>
  </si>
  <si>
    <t>2029Q4</t>
  </si>
  <si>
    <t>2029Q3</t>
  </si>
  <si>
    <t>2029Q2</t>
  </si>
  <si>
    <t>2029Q1</t>
  </si>
  <si>
    <t>2028Q4</t>
  </si>
  <si>
    <t>2028Q3</t>
  </si>
  <si>
    <t>2028Q2</t>
  </si>
  <si>
    <t>2028Q1</t>
  </si>
  <si>
    <t>2027Q4</t>
  </si>
  <si>
    <t>2027Q3</t>
  </si>
  <si>
    <t>2027Q2</t>
  </si>
  <si>
    <t>2027Q1</t>
  </si>
  <si>
    <t>2026Q4</t>
  </si>
  <si>
    <t>2026Q3</t>
  </si>
  <si>
    <t>2026Q2</t>
  </si>
  <si>
    <t>2026Q1</t>
  </si>
  <si>
    <t>2025Q4</t>
  </si>
  <si>
    <t>2025Q3</t>
  </si>
  <si>
    <t>2025Q2</t>
  </si>
  <si>
    <t>2025Q1</t>
  </si>
  <si>
    <t>2024Q4</t>
  </si>
  <si>
    <t>2024Q3</t>
  </si>
  <si>
    <t>2024Q2</t>
  </si>
  <si>
    <t>2024Q1</t>
  </si>
  <si>
    <t>2023Q4</t>
  </si>
  <si>
    <t>2023Q3</t>
  </si>
  <si>
    <t>2023Q2</t>
  </si>
  <si>
    <t>2023Q1</t>
  </si>
  <si>
    <t>2022Q4</t>
  </si>
  <si>
    <t>2022Q3</t>
  </si>
  <si>
    <t>2022Q2</t>
  </si>
  <si>
    <t>2022Q1</t>
  </si>
  <si>
    <t>2021Q4</t>
  </si>
  <si>
    <t>2021Q3</t>
  </si>
  <si>
    <t>2021Q2</t>
  </si>
  <si>
    <t>2021Q1</t>
  </si>
  <si>
    <t>2020Q4</t>
  </si>
  <si>
    <t>2020Q3</t>
  </si>
  <si>
    <t>2020Q2</t>
  </si>
  <si>
    <t>2020Q1</t>
  </si>
  <si>
    <t>2019Q4</t>
  </si>
  <si>
    <t>2019Q3</t>
  </si>
  <si>
    <t>2019Q2</t>
  </si>
  <si>
    <t>2019Q1</t>
  </si>
  <si>
    <t>2018Q4</t>
  </si>
  <si>
    <t>2018Q3</t>
  </si>
  <si>
    <t>2018Q2</t>
  </si>
  <si>
    <t>WTI</t>
  </si>
  <si>
    <t>WCS</t>
  </si>
  <si>
    <t>2005T1</t>
  </si>
  <si>
    <t>2005T2</t>
  </si>
  <si>
    <t>2005T3</t>
  </si>
  <si>
    <t>2005T4</t>
  </si>
  <si>
    <t>2006T1</t>
  </si>
  <si>
    <t>2006T2</t>
  </si>
  <si>
    <t>2006T3</t>
  </si>
  <si>
    <t>2006T4</t>
  </si>
  <si>
    <t>2007T1</t>
  </si>
  <si>
    <t>2007T2</t>
  </si>
  <si>
    <t>2007T3</t>
  </si>
  <si>
    <t>2007T4</t>
  </si>
  <si>
    <t>2008T1</t>
  </si>
  <si>
    <t>2008T2</t>
  </si>
  <si>
    <t>2008T3</t>
  </si>
  <si>
    <t>2008T4</t>
  </si>
  <si>
    <t>2009T1</t>
  </si>
  <si>
    <t>2009T2</t>
  </si>
  <si>
    <t>2009T3</t>
  </si>
  <si>
    <t>2009T4</t>
  </si>
  <si>
    <t>2010T1</t>
  </si>
  <si>
    <t>2010T2</t>
  </si>
  <si>
    <t>2010T3</t>
  </si>
  <si>
    <t>2010T4</t>
  </si>
  <si>
    <t>2011T1</t>
  </si>
  <si>
    <t>2011T2</t>
  </si>
  <si>
    <t>2011T3</t>
  </si>
  <si>
    <t>2011T4</t>
  </si>
  <si>
    <t>2012T1</t>
  </si>
  <si>
    <t>2012T2</t>
  </si>
  <si>
    <t>2012T3</t>
  </si>
  <si>
    <t>2012T4</t>
  </si>
  <si>
    <t>2013T1</t>
  </si>
  <si>
    <t>2013T2</t>
  </si>
  <si>
    <t>2013T3</t>
  </si>
  <si>
    <t>2013T4</t>
  </si>
  <si>
    <t>2014T1</t>
  </si>
  <si>
    <t>2014T2</t>
  </si>
  <si>
    <t>2014T3</t>
  </si>
  <si>
    <t>2014T4</t>
  </si>
  <si>
    <t>2015T1</t>
  </si>
  <si>
    <t>2015T2</t>
  </si>
  <si>
    <t>2015T3</t>
  </si>
  <si>
    <t>2015T4</t>
  </si>
  <si>
    <t>2016T1</t>
  </si>
  <si>
    <t>2016T2</t>
  </si>
  <si>
    <t>2016T3</t>
  </si>
  <si>
    <t>2016T4</t>
  </si>
  <si>
    <t>2017T1</t>
  </si>
  <si>
    <t>2017T2</t>
  </si>
  <si>
    <t>2017T3</t>
  </si>
  <si>
    <t>2017T4</t>
  </si>
  <si>
    <t>2018T1</t>
  </si>
  <si>
    <t>Description</t>
  </si>
  <si>
    <t>EIA</t>
  </si>
  <si>
    <t>LLS</t>
  </si>
  <si>
    <t>Energy Information Administration</t>
  </si>
  <si>
    <t>Abréviations</t>
  </si>
  <si>
    <t>Achat du pipeline Trans Mountain par le Canada : considérations financières et économiques</t>
  </si>
  <si>
    <t>Le présent document reprend l'analyse réalisée par le DPB dans le cadre du rapport susmentionné</t>
  </si>
  <si>
    <t>Valeur actualisée nette (VAN)</t>
  </si>
  <si>
    <t>VAN</t>
  </si>
  <si>
    <t xml:space="preserve">Pétrole brut léger non sulfuré de Louisiane </t>
  </si>
  <si>
    <t>Office national de l'énergie</t>
  </si>
  <si>
    <t>ONE</t>
  </si>
  <si>
    <t>Directeur parlementaire du budget</t>
  </si>
  <si>
    <t>DPB</t>
  </si>
  <si>
    <t>Projet d'agrandissement du réseau de Trans Mountain</t>
  </si>
  <si>
    <t>PARTM</t>
  </si>
  <si>
    <t>Pipeline Trans Mountain</t>
  </si>
  <si>
    <t>PTM</t>
  </si>
  <si>
    <t>Pétrole brut Western Canadian Select</t>
  </si>
  <si>
    <t>Pétrole brut West Texas Intermediate</t>
  </si>
  <si>
    <t>Analyse qualitative du DPB de la mise en service du PARTM</t>
  </si>
  <si>
    <t>Documents de l'ONE</t>
  </si>
  <si>
    <t>Documents 14-A de Kinder Morgan</t>
  </si>
  <si>
    <t>Documents 14-A de Kinder Morgan, Yahoo Finance</t>
  </si>
  <si>
    <t>Analyse de l'actualité</t>
  </si>
  <si>
    <t>Diverses sources d'actualité</t>
  </si>
  <si>
    <t>Analyse par le DPB de la VAN du PTM</t>
  </si>
  <si>
    <t>VAN du pipeline actuel</t>
  </si>
  <si>
    <t>Analyse du DPB de la VAN du PARTM, avec mise en service en 2020 et coûts de construction de 10 % inférieurs</t>
  </si>
  <si>
    <t>Analyse du DPB de la VAN du PARTM, avec mise en service en 2020 et coûts de construction de base</t>
  </si>
  <si>
    <t>Analyse du DPB de la VAN du PARTM, avec mise en service en 2020 et coûts de construction de 10 % supérieurs</t>
  </si>
  <si>
    <t>Analyse du DPB de la VAN du PARTM, avec mise en service en 2021 et coûts de construction de 10 % inférieurs</t>
  </si>
  <si>
    <r>
      <t xml:space="preserve">Analyse du DPB de la VAN du PARTM, avec mise en service en 2021 et coûts de construction de base </t>
    </r>
    <r>
      <rPr>
        <b/>
        <sz val="10"/>
        <color theme="1"/>
        <rFont val="Arial"/>
        <family val="2"/>
      </rPr>
      <t>(scénario de base pour le PARTM)</t>
    </r>
  </si>
  <si>
    <t>Analyse du DPB de la VAN du PARTM, avec mise en service en 2021 et coûts de construction de 10 % supérieurs</t>
  </si>
  <si>
    <t>Analyse du DPB de la VAN du PARTM, avec mise en service en 2022 et coûts de construction de 10 % inférieurs</t>
  </si>
  <si>
    <t>Analyse du DPB de la VAN du PARTM, avec mise en service en 2022 et coûts de construction de base</t>
  </si>
  <si>
    <t>Analyse du DPB de la VAN du PARTM, avec mise en service en 2022 et coûts de construction de 10 % supérieurs</t>
  </si>
  <si>
    <t>Analyse du DPB de la VAN du PARTM, avec mise en service en 2023 et coûts de construction de 10 % inférieurs</t>
  </si>
  <si>
    <t>Analyse du DPB de la VAN du PARTM, avec mise en service en 2023 et coûts de construction de base</t>
  </si>
  <si>
    <t>Analyse du DPB de la VAN du PARTM, avec mise en service en 2023 et coûts de construction de 10 % supérieurs</t>
  </si>
  <si>
    <t>Entreprises comparables</t>
  </si>
  <si>
    <t>Analyse par le DPB des retombées économiques, des coûts de construction et de l'échéancier</t>
  </si>
  <si>
    <t>Calculs de l'écart entre les pétroles Western Canada Select et West Texas Intermediate</t>
  </si>
  <si>
    <t>Transactions précédentes de pipelines aux É.-U. et au Canada</t>
  </si>
  <si>
    <t>Fiches diverses</t>
  </si>
  <si>
    <t>Analyses/données ne figurant pas dans le rapport final du DPB</t>
  </si>
  <si>
    <t>Écarts de prix</t>
  </si>
  <si>
    <t>Écarts de prix entre divers types de pétrole brut (WCS, WTI, Maya, LLS)</t>
  </si>
  <si>
    <t xml:space="preserve">Débit du PTM (capacité) selon diverses destinations et distances </t>
  </si>
  <si>
    <t>Débit</t>
  </si>
  <si>
    <t>Fiche</t>
  </si>
  <si>
    <t>Analyse de l'échéancier</t>
  </si>
  <si>
    <t>Secteur</t>
  </si>
  <si>
    <t>Installations temporaires</t>
  </si>
  <si>
    <t>Terminal maritime de Westridge</t>
  </si>
  <si>
    <t>Terminal de Burnaby</t>
  </si>
  <si>
    <t>Travaux de génie civil - Construction des réservoirs</t>
  </si>
  <si>
    <t>Construction du portail du tunnel</t>
  </si>
  <si>
    <t>Clôturage et réaménagement des installations existantes</t>
  </si>
  <si>
    <t>Déblaiement</t>
  </si>
  <si>
    <t>Palplanches circulaires de l'estran</t>
  </si>
  <si>
    <t xml:space="preserve">Secteur </t>
  </si>
  <si>
    <t xml:space="preserve">Construction du portail du tunnel </t>
  </si>
  <si>
    <t>Comparaison d'échéanciers de construction</t>
  </si>
  <si>
    <t>Report</t>
  </si>
  <si>
    <t>La date de fin est reportée de six mois</t>
  </si>
  <si>
    <t xml:space="preserve">La date de fin est reportée d'au moins deux mois; la date de début semble être reportée de 11 mois. </t>
  </si>
  <si>
    <t>Information insuffisante</t>
  </si>
  <si>
    <t>La date de début est reportée de sept mois.</t>
  </si>
  <si>
    <t>La date de fin est reportée d'au moins 10 mois.</t>
  </si>
  <si>
    <t>Tronçon 2</t>
  </si>
  <si>
    <t>Tronçon 3</t>
  </si>
  <si>
    <t>Tronçon 4</t>
  </si>
  <si>
    <t>Autres reports éventuels</t>
  </si>
  <si>
    <r>
      <t>(1) aucune construction entre septembre 2018 et février</t>
    </r>
    <r>
      <rPr>
        <u/>
        <sz val="11"/>
        <color theme="1"/>
        <rFont val="Calibri"/>
        <family val="2"/>
        <scheme val="minor"/>
      </rPr>
      <t xml:space="preserve"> 2019</t>
    </r>
    <r>
      <rPr>
        <sz val="10"/>
        <color theme="1"/>
        <rFont val="Arial"/>
        <family val="2"/>
      </rPr>
      <t xml:space="preserve"> </t>
    </r>
    <r>
      <rPr>
        <b/>
        <sz val="11"/>
        <color theme="1"/>
        <rFont val="Calibri"/>
        <family val="2"/>
        <scheme val="minor"/>
      </rPr>
      <t>au moins</t>
    </r>
  </si>
  <si>
    <t>(3) prolongation des consultations des PNMI au-delà de février 2019 qui empêche les travaux de contruction</t>
  </si>
  <si>
    <t>(4) certains travaux de construction ne peuvent avoir lieu durant certaines saisons. En particulier, le déblaiement de l'emprise ne peut se faire de mars à août, apparemment pour protéger les sites de nidification des oiseaux migrateurs.</t>
  </si>
  <si>
    <t>(5) possiblement aucune construction jusqu'après l'élection fédérale</t>
  </si>
  <si>
    <t>(7) Manifestations empêchant les travaux de construction</t>
  </si>
  <si>
    <t xml:space="preserve">(6) on continue à autoriser les goulots d'étranglement </t>
  </si>
  <si>
    <r>
      <t xml:space="preserve">(2) probablement aucune construction jusqu'en mai 2019 </t>
    </r>
    <r>
      <rPr>
        <u/>
        <sz val="11"/>
        <color theme="1"/>
        <rFont val="Calibri"/>
        <family val="2"/>
        <scheme val="minor"/>
      </rPr>
      <t>au moins</t>
    </r>
    <r>
      <rPr>
        <sz val="10"/>
        <color theme="1"/>
        <rFont val="Arial"/>
        <family val="2"/>
      </rPr>
      <t xml:space="preserve"> (d'après la réunion de CDEV).</t>
    </r>
  </si>
  <si>
    <t>Hypothèse (conservatrice)</t>
  </si>
  <si>
    <t>Report de 9 mois en raison de la Cour d'appel</t>
  </si>
  <si>
    <t>Report de 4 mois avant le jugement de la Cour d'appel</t>
  </si>
  <si>
    <t>Report de 3 mois</t>
  </si>
  <si>
    <t>Report de 16 mois</t>
  </si>
  <si>
    <t xml:space="preserve">Date de mise en service la plus rappochée </t>
  </si>
  <si>
    <t>30 septembre 2020 (estimation initiale)</t>
  </si>
  <si>
    <t>31 janvier 2022</t>
  </si>
  <si>
    <t>ONE A93347-1</t>
  </si>
  <si>
    <t>Exonération de responsabilité</t>
  </si>
  <si>
    <t>Les estimations initiales de Trans Mountain étaient conservatrices : la société n'a pas tenu compte des possibilités de comprimer les échéanciers.</t>
  </si>
  <si>
    <t>La date de fin des travaux est fixée pour le 30 août 2018, et l'hypothèse est faite qu'ils ne reprendront pas avant la fin mai 2019, au plus tôt (réunion du CDEV)</t>
  </si>
  <si>
    <t xml:space="preserve">Les travaux de déblaiement (qui se heurtent à des obstacles) ne peuvent reprendre avant la fin août 2019, au plus tôt, en raison du Règlement sur les oiseaux migrateurs. </t>
  </si>
  <si>
    <t xml:space="preserve">Ou plus tard, compte tenu du report hypothétique conservateur avant le jugement de la Cour d'appel. </t>
  </si>
  <si>
    <t>ONE A83596-2</t>
  </si>
  <si>
    <t>ONE A86447-2</t>
  </si>
  <si>
    <t>ONE A87461-3</t>
  </si>
  <si>
    <t>Les deux</t>
  </si>
  <si>
    <t>Reprise des travaux déjà amorcés</t>
  </si>
  <si>
    <t>Délai ferme le plus court dans l'analyse des échéanciers de construction. Prévoir au minimum sept mois pour le déblaiement des tronçons est la façon la plus équilibrée (c.-à-d. la plus conservatrice) d'estimer le délai. Toutefois, le déblaiement ne pourrait avoir lieu entre mars et août, puisque c'est la période de nidification des oiseaux migrateurs (ce qui explique en partie le délai).</t>
  </si>
  <si>
    <t>Estimation de la date la plus rapprochée de mise en service</t>
  </si>
  <si>
    <t>30 septembre 2020</t>
  </si>
  <si>
    <t>31 décembre 2020</t>
  </si>
  <si>
    <t>30 avril 2021</t>
  </si>
  <si>
    <t>30 avril 2021 et au-delà</t>
  </si>
  <si>
    <t>Septembre 2019</t>
  </si>
  <si>
    <t>Août 2018</t>
  </si>
  <si>
    <t>Janvier 2018</t>
  </si>
  <si>
    <t>Automne 2017</t>
  </si>
  <si>
    <t>Quand</t>
  </si>
  <si>
    <t xml:space="preserve">TMEP Level 1 Master Schedule (September 2020 In Service*) </t>
  </si>
  <si>
    <t>Totaux de la valeur actualisée des flux de trésorerie</t>
  </si>
  <si>
    <t>Valeur actualisée des flux de trésorerie déclarée</t>
  </si>
  <si>
    <t>Valeur actualisée des flux de trésorerie</t>
  </si>
  <si>
    <t>Durée du contrat</t>
  </si>
  <si>
    <t>Frais</t>
  </si>
  <si>
    <t>Confidentiel</t>
  </si>
  <si>
    <t>Taux d'escompte indicatif</t>
  </si>
  <si>
    <t xml:space="preserve">   Croissance des immobilisations</t>
  </si>
  <si>
    <t>Flux de trésorerie distribuables</t>
  </si>
  <si>
    <t>Frais d'intérêt</t>
  </si>
  <si>
    <t>Frais d'intérêts</t>
  </si>
  <si>
    <t>Flux de trésorerie disponibles</t>
  </si>
  <si>
    <t>Total cumulatif</t>
  </si>
  <si>
    <t>Croissance des immobilisations</t>
  </si>
  <si>
    <t xml:space="preserve">   Flux de trésorerie distribuables</t>
  </si>
  <si>
    <t xml:space="preserve">   Flux de trésorerie disponibles</t>
  </si>
  <si>
    <t xml:space="preserve">Durée du contrat </t>
  </si>
  <si>
    <t xml:space="preserve">Frais </t>
  </si>
  <si>
    <t xml:space="preserve">Entreprises canadiennes comparables (document 14-A) </t>
  </si>
  <si>
    <t>Valeur nette (en milliards $)</t>
  </si>
  <si>
    <t>Valeur d'entreprise (en milliards $)</t>
  </si>
  <si>
    <t>VE/BAIIA</t>
  </si>
  <si>
    <t>Date de consultation</t>
  </si>
  <si>
    <t>Moyenne</t>
  </si>
  <si>
    <t>Dette</t>
  </si>
  <si>
    <t>Coefficient bêta</t>
  </si>
  <si>
    <t>Coefficient bêta sans facteur d'endettement</t>
  </si>
  <si>
    <t>Taux d'imposition</t>
  </si>
  <si>
    <t>Gibson Energy Inc.</t>
  </si>
  <si>
    <t>Inter Pipeline Inc.</t>
  </si>
  <si>
    <t>Pembina Pipeline Corp.</t>
  </si>
  <si>
    <t>Keyera Corp.</t>
  </si>
  <si>
    <t xml:space="preserve">Médiane </t>
  </si>
  <si>
    <t>Valeur marchande des capitaux propres</t>
  </si>
  <si>
    <t>Coefficient bêta sans facteur d'endettement (ratio d'endettement moyen)</t>
  </si>
  <si>
    <t>Ratio d'endettement</t>
  </si>
  <si>
    <t>Dette/(ratio d'endettement)</t>
  </si>
  <si>
    <t>Coût des capitaux propres</t>
  </si>
  <si>
    <t>Service de la dette</t>
  </si>
  <si>
    <t>Coût moyen du capital pondéré</t>
  </si>
  <si>
    <t>Année</t>
  </si>
  <si>
    <t>BAIIA de KM</t>
  </si>
  <si>
    <t>Moyenne du BAIIA de KM</t>
  </si>
  <si>
    <t>Valeur du PTM</t>
  </si>
  <si>
    <t>Valeur réelle/(valeur de la dette+valeur réelle) (moyenne)</t>
  </si>
  <si>
    <t>Taux de rendement sans risque</t>
  </si>
  <si>
    <t>Coefficiant bêta</t>
  </si>
  <si>
    <t>Médiane</t>
  </si>
  <si>
    <t>Prime de risque sur capitaux propres</t>
  </si>
  <si>
    <t>Retombées économiques et réaction de la politique monétaire</t>
  </si>
  <si>
    <t>Multiplicateur</t>
  </si>
  <si>
    <t>Incidence sur le PIB réel (%)</t>
  </si>
  <si>
    <t>Incidence sur l'emploi (en milliers)</t>
  </si>
  <si>
    <t>Incidence sur les ETP (en milliers)</t>
  </si>
  <si>
    <t>Nota: Les coûts de construction avant 2018 ne font pas partie des retombées économiques.</t>
  </si>
  <si>
    <t>Coûts de l'agrandissement du pipeline Trans Mountain et échéancier</t>
  </si>
  <si>
    <t xml:space="preserve">À supposer que la date de mise en service soit le 30 décembre 2021. </t>
  </si>
  <si>
    <t>Coûts initiaux</t>
  </si>
  <si>
    <t>Coûts totaux</t>
  </si>
  <si>
    <t>Ratio de la provision pour fonds utilisés durant la construction (PFUDC)</t>
  </si>
  <si>
    <t>Coût total moins les paiements d'intérêts (PFUDC)</t>
  </si>
  <si>
    <t>Nota: Les coûts établis pour 2018 tiennent compte d'un écart non comptabilisé entre les coûts initiaux totaux présentés dans le document 14-A de KM (environ 7 milliards) et les chiffres réels publiés (7,4 milliards).</t>
  </si>
  <si>
    <t>Avant 2018</t>
  </si>
  <si>
    <t xml:space="preserve">Écart réparti également </t>
  </si>
  <si>
    <t>Écart</t>
  </si>
  <si>
    <t>Acquéreur</t>
  </si>
  <si>
    <t>Cible</t>
  </si>
  <si>
    <t>Actif</t>
  </si>
  <si>
    <t>Valeur (en millions de $)</t>
  </si>
  <si>
    <t>Projets de pipeline</t>
  </si>
  <si>
    <t>Borealis Infrastructure, Régime de retraite des enseignantes et des enseignants de l'Ontario, Kinder Morgan Energy Partners</t>
  </si>
  <si>
    <t>50 % des parts dans le pipeline Access et 100 % des parts dans le terminal de Stonefell</t>
  </si>
  <si>
    <t>Pipeline Ozark</t>
  </si>
  <si>
    <t>50 % des parts dans le pipeline Access de Devon Energy</t>
  </si>
  <si>
    <t>50 % des parts dans le gazoduc  Southern</t>
  </si>
  <si>
    <t>25 % des parts dans Rockies Express Pipeline LLC</t>
  </si>
  <si>
    <t>Solde des parts 66,7 % dans le segment américain du pipeline Alberta Clipper</t>
  </si>
  <si>
    <t>50 % des parts dans BridgeTex Pipeline Company LLC</t>
  </si>
  <si>
    <t>Mesquite Pipeline Company et 80 % des parts dans West Texas LPG Pipeline Limited Partnership</t>
  </si>
  <si>
    <t>Actifs du gazoduc Gulf Coast Natural Gas Pipeline</t>
  </si>
  <si>
    <t>100 % des parts dans le pipeline Express-Platte</t>
  </si>
  <si>
    <t>Kinder Morgan Interstate Gas Transmission, Trailblazer Pipeline Company, Casper-Douglas, West Frenchie Draw et 50 % des parts dans REX</t>
  </si>
  <si>
    <t>Valeur et ratio</t>
  </si>
  <si>
    <t>Valeur</t>
  </si>
  <si>
    <t>Doc. 14-A de KM</t>
  </si>
  <si>
    <t>13,4 x</t>
  </si>
  <si>
    <t>15,8 x</t>
  </si>
  <si>
    <t>10,1 x</t>
  </si>
  <si>
    <t>10,4 x</t>
  </si>
  <si>
    <t>11,0 x</t>
  </si>
  <si>
    <t>10,7 x</t>
  </si>
  <si>
    <t>10,5 x</t>
  </si>
  <si>
    <t>11,5 x</t>
  </si>
  <si>
    <t>8,3 x</t>
  </si>
  <si>
    <t>Données tirées des documents 14-A de KM :</t>
  </si>
  <si>
    <t>Les fiches qui suivent renferment diverses analyses et données que nous n'avons pas utilisées dans notre rapport.</t>
  </si>
  <si>
    <t>Mois</t>
  </si>
  <si>
    <t>Nom du pipeline</t>
  </si>
  <si>
    <t>Type de commerce</t>
  </si>
  <si>
    <t>exportation</t>
  </si>
  <si>
    <t>exportationation</t>
  </si>
  <si>
    <t>Sud</t>
  </si>
  <si>
    <t>Ouest</t>
  </si>
  <si>
    <t>Ouestridge</t>
  </si>
  <si>
    <t>Produit</t>
  </si>
  <si>
    <t>brut léger canadien</t>
  </si>
  <si>
    <t>brut lourd canadien</t>
  </si>
  <si>
    <t>produits pétroliers raffinés</t>
  </si>
  <si>
    <t>Transactions précédentes</t>
  </si>
  <si>
    <t>Débit de 1000 m3/jour</t>
  </si>
  <si>
    <t>Principal point</t>
  </si>
  <si>
    <t>Type de pétrole</t>
  </si>
  <si>
    <t>Droits exigibles sur le réseau principal</t>
  </si>
  <si>
    <t>Droits</t>
  </si>
  <si>
    <t>Droits selon la destination, la distance et le type de pétrole du PTM</t>
  </si>
  <si>
    <t>IntraCanada</t>
  </si>
  <si>
    <t>Sens d'écoulement</t>
  </si>
  <si>
    <t>Point de réception</t>
  </si>
  <si>
    <t>Point de destination</t>
  </si>
  <si>
    <t>Réservoir</t>
  </si>
  <si>
    <t>Supplément</t>
  </si>
  <si>
    <t>Quai Westridge</t>
  </si>
  <si>
    <t>Droit net ($/m3)</t>
  </si>
  <si>
    <t>Installation du terminal</t>
  </si>
  <si>
    <t>Canalisation</t>
  </si>
  <si>
    <t>Super léger</t>
  </si>
  <si>
    <t>Léger</t>
  </si>
  <si>
    <t>Moyen</t>
  </si>
  <si>
    <t>Lourd</t>
  </si>
  <si>
    <t>Super lourd</t>
  </si>
  <si>
    <t>Injection directe</t>
  </si>
  <si>
    <t>Injection par un tiers</t>
  </si>
  <si>
    <t>Recherche par le DPB dans des sources d'actualité de la date estimée de mise en service</t>
  </si>
  <si>
    <t>Documents 14-A de Kinder Morgan, communiqués et documents publics de la société</t>
  </si>
  <si>
    <t>Analyse par le DPB d'entreprises comparables au 12 décembre 2018</t>
  </si>
  <si>
    <t>Analyse par le DPB d'entreprises comparables au 21 janvier 2019</t>
  </si>
  <si>
    <t>Analyse</t>
  </si>
  <si>
    <t>PARTM : Résumé de l'échéancier [de construction] sur six mois</t>
  </si>
  <si>
    <t xml:space="preserve">Travaux  </t>
  </si>
  <si>
    <t xml:space="preserve">Travaux   </t>
  </si>
  <si>
    <t>Aire d'entreposage et aménagement d'un camp temporaire</t>
  </si>
  <si>
    <t>Postes d'amarrage 1 et 2 - Pieux de chevalets et ducs d'Albe d'amarrage</t>
  </si>
  <si>
    <r>
      <t>La date de fin est reportée d'au moins deux mois;</t>
    </r>
    <r>
      <rPr>
        <sz val="10"/>
        <color theme="1"/>
        <rFont val="Arial"/>
        <family val="2"/>
      </rPr>
      <t xml:space="preserve"> la date de début semble être reportée de 7 mois.</t>
    </r>
  </si>
  <si>
    <t>La date de fin est reportée d'au moins trois mois; la date de début semble être reportée de neuf mois.</t>
  </si>
  <si>
    <t xml:space="preserve">Les dates de début et de fin sont reportées de quatre et cinq mois. </t>
  </si>
  <si>
    <t>Échéancier à l'automne 2017</t>
  </si>
  <si>
    <t>Aperçu de l'échéancier en date d'août 2018</t>
  </si>
  <si>
    <t>Période de nidification des oiseaux migrateurs (il semble que le déblaiement ne puisse se faire entre le 15 mars et le 24 août).</t>
  </si>
  <si>
    <t>Les aspects faisant partie de l'aperçu d'août devant se terminer en janvier 2019 pourraient se poursuivre au-delà de cette date.</t>
  </si>
  <si>
    <t xml:space="preserve">Les aspects faisant partie de l'aperçu d'août devant débuté en juillet 2018 pourraient avoir été amorcés avant. </t>
  </si>
  <si>
    <t>Type de livraison</t>
  </si>
  <si>
    <t>Au réservoir, avec compteur</t>
  </si>
  <si>
    <t>Au réservoir, sans compteur</t>
  </si>
  <si>
    <t>Mesurée directement dans la canalisation principale</t>
  </si>
  <si>
    <t>Livraison</t>
  </si>
  <si>
    <t>Écart du WCS</t>
  </si>
  <si>
    <t>Écart du Maya</t>
  </si>
  <si>
    <t>Prime de transport</t>
  </si>
  <si>
    <t>Faible conformité à l'OMI</t>
  </si>
  <si>
    <t>Conformité moyenne à l'OMI</t>
  </si>
  <si>
    <t>Dépenses du PARTM (en millions de $)</t>
  </si>
  <si>
    <t>(en millions de $)</t>
  </si>
  <si>
    <t>Analyse de la valeur actualisée des flux de trésorerie (agrandissement du pipeline Trans Mountain)</t>
  </si>
  <si>
    <t>Analyse de la valeur actualisée des flux de trésorerie (Agrandissement du pipeline Trans Mountain)</t>
  </si>
  <si>
    <t>Analyse de la valeur actualisée des flux de trésorerie (Trans Mountain de base)</t>
  </si>
  <si>
    <t>Agrandissement, 2020_ex-post</t>
  </si>
  <si>
    <t>Agrandissement, 2020 +10_ex-post</t>
  </si>
  <si>
    <t>Agrandissement, 2021 -10_ex-post</t>
  </si>
  <si>
    <t>Agrandissement, 2021_ex-post</t>
  </si>
  <si>
    <t>Agrandissement, 2021 +10_ex-post</t>
  </si>
  <si>
    <t>Agrandissement, 2022 -10_ex-post</t>
  </si>
  <si>
    <t>Agrandissement, 2022_ex-post</t>
  </si>
  <si>
    <t>Agrandissement, 2022 +10_ex-post</t>
  </si>
  <si>
    <t>Agrandissement, 2023 -10_ex-post</t>
  </si>
  <si>
    <t>Agrandissement, 2023_ex-post</t>
  </si>
  <si>
    <t>Agrandissement, 2023 +10_ex-post</t>
  </si>
  <si>
    <t>BAIIA (en milliards $)</t>
  </si>
  <si>
    <t xml:space="preserve">Comparables - Mise à jour </t>
  </si>
  <si>
    <t>Retombées économiques</t>
  </si>
  <si>
    <t>Écart de prix WTI-WCS</t>
  </si>
  <si>
    <t>Agrandissement, 2020 -10_ex-post</t>
  </si>
  <si>
    <t>Agrandissement, 2020 -10_ex-ante</t>
  </si>
  <si>
    <t>Agrandissement, 2020_ex-ante</t>
  </si>
  <si>
    <t>Agrandissement, 2020 +10_ex-ante</t>
  </si>
  <si>
    <t>Agrandissement, 2021 -10_ex-ante</t>
  </si>
  <si>
    <t>Agrandissement, 2021_ex-ante</t>
  </si>
  <si>
    <t>Agrandissement, 2021 +10_ex-ante</t>
  </si>
  <si>
    <t>Agrandissement, 2022 -10_ex-ante</t>
  </si>
  <si>
    <t>Agrandissement, 2022_ex-ante</t>
  </si>
  <si>
    <t>Agrandissement, 2022 +10_ex-ante</t>
  </si>
  <si>
    <t>Agrandissement, 2023 -10_ex-ante</t>
  </si>
  <si>
    <t>Agrandissement, 2023_ex-ante</t>
  </si>
  <si>
    <t>Agrandissement, 2023 +10_ex-ante</t>
  </si>
  <si>
    <t>Analyse du DPB de la VAN du PARTM, avec mise en service en 2020 et coûts de construction de 10 % inférieurs (spécification alternative)</t>
  </si>
  <si>
    <t>Analyse du DPB de la VAN du PARTM, avec mise en service en 2020 et coûts de construction de base (spécification alternative)</t>
  </si>
  <si>
    <t>Analyse du DPB de la VAN du PARTM, avec mise en service en 2020 et coûts de construction de 10 % supérieurs (spécification alternative)</t>
  </si>
  <si>
    <t>Analyse du DPB de la VAN du PARTM, avec mise en service en 2021 et coûts de construction de 10 % inférieurs (spécification alternative)</t>
  </si>
  <si>
    <t>Analyse du DPB de la VAN du PARTM, avec mise en service en 2021 et coûts de construction de base (scénario de base pour le PARTM) (spécification alternative)</t>
  </si>
  <si>
    <t>Analyse du DPB de la VAN du PARTM, avec mise en service en 2021 et coûts de construction de 10 % supérieurs (spécification alternative)</t>
  </si>
  <si>
    <t>Analyse du DPB de la VAN du PARTM, avec mise en service en 2022 et coûts de construction de 10 % inférieurs (spécification alternative)</t>
  </si>
  <si>
    <t>Analyse du DPB de la VAN du PARTM, avec mise en service en 2022 et coûts de construction de base (spécification alternative)</t>
  </si>
  <si>
    <t>Analyse du DPB de la VAN du PARTM, avec mise en service en 2022 et coûts de construction de 10 % supérieurs (spécification alternative)</t>
  </si>
  <si>
    <t>Analyse du DPB de la VAN du PARTM, avec mise en service en 2023 et coûts de construction de 10 % inférieurs (spécification alternative)</t>
  </si>
  <si>
    <t>Analyse du DPB de la VAN du PARTM, avec mise en service en 2023 et coûts de construction de base (spécification alternative)</t>
  </si>
  <si>
    <t>Analyse du DPB de la VAN du PARTM, avec mise en service en 2023 et coûts de construction de 10 % supérieurs (spécification alternative)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</si>
</sst>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_);\(#,##0.0\);_(&quot;–&quot;_)_%"/>
    <numFmt numFmtId="165" formatCode="#,##0_);\(#,##0\);_(&quot;–&quot;_)_%"/>
    <numFmt numFmtId="166" formatCode="#,##0.00_);\(#,##0.00\);_(&quot;–&quot;_)_%"/>
    <numFmt numFmtId="167" formatCode="d/m/yy;@"/>
    <numFmt numFmtId="168" formatCode="0.0000"/>
    <numFmt numFmtId="169" formatCode="_-* #,##0_-;\-* #,##0_-;_-* &quot;-&quot;??_-;_-@_-"/>
    <numFmt numFmtId="170" formatCode="#,##0.00000"/>
    <numFmt numFmtId="171" formatCode="#,##0_$\);\(#,##0\ &quot;$&quot;\);_(&quot;–&quot;_)_%"/>
    <numFmt numFmtId="172" formatCode="#,##0\ &quot;$&quot;;\(&quot;$&quot;#,##0\);_(&quot;–&quot;_)_%"/>
    <numFmt numFmtId="173" formatCode="#,##0\ &quot;$&quot;;\(#,##0\ &quot;$&quot;\);_(&quot;–&quot;_)_%"/>
    <numFmt numFmtId="174" formatCode="#,##0_ %;\(#,##0.0%\)"/>
    <numFmt numFmtId="175" formatCode="#,##0%;\(#,##0.0%\)"/>
    <numFmt numFmtId="176" formatCode="0.0"/>
  </numFmts>
  <fonts count="3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color indexed="12"/>
      <name val="Arial"/>
      <family val="2"/>
    </font>
    <font>
      <i/>
      <sz val="10"/>
      <color theme="1"/>
      <name val="Arial"/>
      <family val="2"/>
    </font>
    <font>
      <b/>
      <sz val="10"/>
      <color indexed="12"/>
      <name val="Arial"/>
      <family val="2"/>
    </font>
    <font>
      <b/>
      <sz val="12"/>
      <color theme="1"/>
      <name val="Arial"/>
      <family val="2"/>
    </font>
    <font>
      <b/>
      <sz val="10"/>
      <color rgb="FFC00000"/>
      <name val="Arial"/>
      <family val="2"/>
    </font>
    <font>
      <b/>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2"/>
      <color theme="1"/>
      <name val="Calibri"/>
      <family val="2"/>
      <scheme val="minor"/>
    </font>
    <font>
      <sz val="10"/>
      <color theme="1"/>
      <name val="Arial"/>
      <family val="2"/>
    </font>
    <font>
      <u/>
      <sz val="10"/>
      <color theme="10"/>
      <name val="Arial"/>
      <family val="2"/>
    </font>
    <font>
      <sz val="10"/>
      <name val="Arial"/>
      <family val="2"/>
    </font>
    <font>
      <b/>
      <sz val="10"/>
      <name val="Arial"/>
      <family val="2"/>
    </font>
    <font>
      <u/>
      <sz val="10"/>
      <name val="Arial"/>
      <family val="2"/>
    </font>
    <font>
      <u/>
      <sz val="11"/>
      <color theme="1"/>
      <name val="Calibri"/>
      <family val="2"/>
      <scheme val="minor"/>
    </font>
    <font>
      <b/>
      <sz val="20"/>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u/>
      <sz val="11"/>
      <color theme="10"/>
      <name val="Arial"/>
      <family val="2"/>
    </font>
    <font>
      <sz val="11"/>
      <color rgb="FF000000"/>
      <name val="Arial"/>
      <family val="2"/>
    </font>
    <font>
      <sz val="12"/>
      <color theme="1"/>
      <name val="Arial"/>
      <family val="2"/>
    </font>
  </fonts>
  <fills count="11">
    <fill>
      <patternFill patternType="none"/>
    </fill>
    <fill>
      <patternFill patternType="gray125"/>
    </fill>
    <fill>
      <patternFill patternType="solid">
        <fgColor theme="2"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darkHorizontal">
        <fgColor rgb="FFFFC000"/>
      </patternFill>
    </fill>
    <fill>
      <patternFill patternType="darkUp">
        <fgColor rgb="FF92D050"/>
        <bgColor rgb="FFFFC000"/>
      </patternFill>
    </fill>
    <fill>
      <patternFill patternType="solid">
        <fgColor rgb="FFFFC000"/>
        <bgColor indexed="64"/>
      </patternFill>
    </fill>
    <fill>
      <patternFill patternType="darkUp">
        <fgColor rgb="FF92D050"/>
        <bgColor rgb="FF92D050"/>
      </patternFill>
    </fill>
  </fills>
  <borders count="23">
    <border>
      <left/>
      <right/>
      <top/>
      <bottom/>
      <diagonal/>
    </border>
    <border>
      <left/>
      <right/>
      <top/>
      <bottom style="thin">
        <color theme="3"/>
      </bottom>
      <diagonal/>
    </border>
    <border>
      <left style="medium">
        <color theme="0"/>
      </left>
      <right style="medium">
        <color theme="0"/>
      </right>
      <top/>
      <bottom style="thin">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dashed">
        <color rgb="FFC00000"/>
      </left>
      <right/>
      <top style="dashed">
        <color rgb="FFC00000"/>
      </top>
      <bottom/>
      <diagonal/>
    </border>
    <border>
      <left/>
      <right/>
      <top style="dashed">
        <color rgb="FFC00000"/>
      </top>
      <bottom/>
      <diagonal/>
    </border>
    <border>
      <left/>
      <right style="dashed">
        <color rgb="FFC00000"/>
      </right>
      <top style="dashed">
        <color rgb="FFC00000"/>
      </top>
      <bottom/>
      <diagonal/>
    </border>
    <border>
      <left style="dashed">
        <color rgb="FFC00000"/>
      </left>
      <right/>
      <top/>
      <bottom/>
      <diagonal/>
    </border>
    <border>
      <left/>
      <right style="dashed">
        <color rgb="FFC00000"/>
      </right>
      <top/>
      <bottom/>
      <diagonal/>
    </border>
    <border>
      <left style="dashed">
        <color rgb="FFC00000"/>
      </left>
      <right/>
      <top/>
      <bottom style="dashed">
        <color rgb="FFC00000"/>
      </bottom>
      <diagonal/>
    </border>
    <border>
      <left/>
      <right/>
      <top/>
      <bottom style="dashed">
        <color rgb="FFC00000"/>
      </bottom>
      <diagonal/>
    </border>
    <border>
      <left/>
      <right style="dashed">
        <color rgb="FFC00000"/>
      </right>
      <top/>
      <bottom style="dashed">
        <color rgb="FFC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4">
    <xf numFmtId="0" fontId="0" fillId="0" borderId="0"/>
    <xf numFmtId="0" fontId="5" fillId="0" borderId="0"/>
    <xf numFmtId="0" fontId="13" fillId="0" borderId="0" applyNumberFormat="0" applyFill="0" applyBorder="0" applyAlignment="0" applyProtection="0"/>
    <xf numFmtId="43" fontId="5" fillId="0" borderId="0" applyFont="0" applyFill="0" applyBorder="0" applyAlignment="0" applyProtection="0"/>
    <xf numFmtId="0" fontId="16" fillId="0" borderId="0"/>
    <xf numFmtId="0" fontId="18" fillId="0" borderId="0" applyNumberFormat="0" applyFill="0" applyBorder="0" applyAlignment="0" applyProtection="0"/>
    <xf numFmtId="9" fontId="17"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0" fontId="2" fillId="0" borderId="0"/>
  </cellStyleXfs>
  <cellXfs count="149">
    <xf numFmtId="0" fontId="0" fillId="0" borderId="0" xfId="0"/>
    <xf numFmtId="164" fontId="0" fillId="0" borderId="0" xfId="0" applyNumberFormat="1"/>
    <xf numFmtId="0" fontId="0" fillId="0" borderId="1" xfId="0" applyBorder="1"/>
    <xf numFmtId="0" fontId="6" fillId="0" borderId="2" xfId="0" applyFont="1" applyBorder="1"/>
    <xf numFmtId="166" fontId="0" fillId="0" borderId="0" xfId="0" applyNumberFormat="1"/>
    <xf numFmtId="0" fontId="8" fillId="0" borderId="0" xfId="0" applyFont="1"/>
    <xf numFmtId="166" fontId="8" fillId="0" borderId="0" xfId="0" applyNumberFormat="1" applyFont="1"/>
    <xf numFmtId="165" fontId="7" fillId="0" borderId="0" xfId="0" applyNumberFormat="1" applyFont="1"/>
    <xf numFmtId="0" fontId="6" fillId="0" borderId="4" xfId="0" applyFont="1" applyBorder="1"/>
    <xf numFmtId="0" fontId="6" fillId="0" borderId="5" xfId="0" applyFont="1" applyBorder="1"/>
    <xf numFmtId="165" fontId="0" fillId="0" borderId="0" xfId="0" applyNumberFormat="1" applyFont="1"/>
    <xf numFmtId="0" fontId="0" fillId="0" borderId="0" xfId="0" applyAlignment="1">
      <alignment horizontal="left" indent="1"/>
    </xf>
    <xf numFmtId="0" fontId="8" fillId="0" borderId="0" xfId="0" applyFont="1" applyAlignment="1">
      <alignment horizontal="left" indent="1"/>
    </xf>
    <xf numFmtId="0" fontId="7" fillId="0" borderId="0" xfId="0" applyFont="1" applyAlignment="1">
      <alignment horizontal="center"/>
    </xf>
    <xf numFmtId="164" fontId="6" fillId="0" borderId="1" xfId="0" applyNumberFormat="1" applyFont="1" applyBorder="1" applyAlignment="1">
      <alignment horizontal="centerContinuous"/>
    </xf>
    <xf numFmtId="0" fontId="6" fillId="0" borderId="1" xfId="0" applyFont="1" applyBorder="1" applyAlignment="1">
      <alignment horizontal="centerContinuous"/>
    </xf>
    <xf numFmtId="0" fontId="6" fillId="0" borderId="2" xfId="0" applyFont="1" applyBorder="1" applyAlignment="1">
      <alignment horizontal="centerContinuous"/>
    </xf>
    <xf numFmtId="0" fontId="10" fillId="0" borderId="1" xfId="0" applyFont="1" applyBorder="1"/>
    <xf numFmtId="0" fontId="11" fillId="0" borderId="1" xfId="0" applyFont="1" applyBorder="1" applyAlignment="1">
      <alignment horizontal="right"/>
    </xf>
    <xf numFmtId="14" fontId="0" fillId="0" borderId="0" xfId="0" applyNumberFormat="1"/>
    <xf numFmtId="0" fontId="6" fillId="2" borderId="4" xfId="0" applyFont="1" applyFill="1" applyBorder="1"/>
    <xf numFmtId="0" fontId="6" fillId="2" borderId="5" xfId="0" applyFont="1" applyFill="1" applyBorder="1"/>
    <xf numFmtId="165" fontId="6" fillId="2" borderId="5" xfId="0" applyNumberFormat="1" applyFont="1" applyFill="1" applyBorder="1"/>
    <xf numFmtId="165" fontId="6" fillId="2" borderId="6" xfId="0" applyNumberFormat="1" applyFont="1" applyFill="1" applyBorder="1"/>
    <xf numFmtId="165" fontId="8" fillId="0" borderId="0" xfId="0" applyNumberFormat="1" applyFont="1" applyBorder="1"/>
    <xf numFmtId="0" fontId="6" fillId="0" borderId="0" xfId="0" applyFont="1" applyBorder="1"/>
    <xf numFmtId="0" fontId="6" fillId="0" borderId="7" xfId="0" applyFont="1" applyBorder="1"/>
    <xf numFmtId="0" fontId="6" fillId="0" borderId="8" xfId="0" applyFont="1" applyBorder="1"/>
    <xf numFmtId="0" fontId="0" fillId="0" borderId="10" xfId="0" applyFont="1" applyBorder="1"/>
    <xf numFmtId="165" fontId="0" fillId="0" borderId="11" xfId="0" applyNumberFormat="1" applyFont="1" applyBorder="1"/>
    <xf numFmtId="0" fontId="8" fillId="0" borderId="13" xfId="0" applyFont="1" applyBorder="1"/>
    <xf numFmtId="165" fontId="8" fillId="0" borderId="14" xfId="0" applyNumberFormat="1" applyFont="1" applyBorder="1"/>
    <xf numFmtId="0" fontId="8" fillId="0" borderId="12" xfId="0" applyFont="1" applyBorder="1" applyAlignment="1">
      <alignment horizontal="left" indent="1"/>
    </xf>
    <xf numFmtId="0" fontId="19" fillId="0" borderId="0" xfId="0" applyFont="1"/>
    <xf numFmtId="10" fontId="19" fillId="0" borderId="0" xfId="6" applyNumberFormat="1" applyFont="1"/>
    <xf numFmtId="0" fontId="20" fillId="0" borderId="0" xfId="0" applyFont="1"/>
    <xf numFmtId="0" fontId="21" fillId="0" borderId="0" xfId="5" applyFont="1"/>
    <xf numFmtId="170" fontId="19" fillId="0" borderId="0" xfId="0" applyNumberFormat="1" applyFont="1"/>
    <xf numFmtId="9" fontId="19" fillId="0" borderId="0" xfId="6" applyFont="1"/>
    <xf numFmtId="0" fontId="19" fillId="0" borderId="0" xfId="0" applyFont="1" applyAlignment="1">
      <alignment wrapText="1"/>
    </xf>
    <xf numFmtId="2" fontId="20" fillId="0" borderId="0" xfId="0" applyNumberFormat="1" applyFont="1" applyAlignment="1">
      <alignment vertical="center"/>
    </xf>
    <xf numFmtId="0" fontId="20" fillId="0" borderId="0" xfId="0" applyFont="1" applyAlignment="1">
      <alignment vertical="center"/>
    </xf>
    <xf numFmtId="15" fontId="19" fillId="0" borderId="0" xfId="0" applyNumberFormat="1" applyFont="1"/>
    <xf numFmtId="0" fontId="4" fillId="0" borderId="0" xfId="7"/>
    <xf numFmtId="0" fontId="12" fillId="0" borderId="0" xfId="7" applyFont="1"/>
    <xf numFmtId="0" fontId="4" fillId="0" borderId="15" xfId="7" applyBorder="1"/>
    <xf numFmtId="49" fontId="12" fillId="4" borderId="17" xfId="7" applyNumberFormat="1" applyFont="1" applyFill="1" applyBorder="1"/>
    <xf numFmtId="0" fontId="4" fillId="0" borderId="18" xfId="7" applyBorder="1"/>
    <xf numFmtId="0" fontId="4" fillId="0" borderId="0" xfId="7" applyBorder="1"/>
    <xf numFmtId="0" fontId="4" fillId="0" borderId="20" xfId="7" applyBorder="1"/>
    <xf numFmtId="0" fontId="4" fillId="0" borderId="21" xfId="7" applyBorder="1"/>
    <xf numFmtId="0" fontId="12" fillId="0" borderId="22" xfId="7" applyFont="1" applyBorder="1"/>
    <xf numFmtId="0" fontId="4" fillId="6" borderId="0" xfId="7" applyFill="1"/>
    <xf numFmtId="0" fontId="4" fillId="7" borderId="0" xfId="7" applyFill="1"/>
    <xf numFmtId="0" fontId="4" fillId="8" borderId="0" xfId="7" applyFill="1"/>
    <xf numFmtId="0" fontId="4" fillId="9" borderId="0" xfId="7" applyFill="1"/>
    <xf numFmtId="0" fontId="4" fillId="5" borderId="0" xfId="7" applyFill="1"/>
    <xf numFmtId="0" fontId="4" fillId="10" borderId="0" xfId="7" applyFill="1"/>
    <xf numFmtId="0" fontId="4" fillId="0" borderId="0" xfId="7" applyFill="1"/>
    <xf numFmtId="17" fontId="4" fillId="0" borderId="0" xfId="7" applyNumberFormat="1"/>
    <xf numFmtId="49" fontId="12" fillId="4" borderId="0" xfId="7" applyNumberFormat="1" applyFont="1" applyFill="1"/>
    <xf numFmtId="0" fontId="18" fillId="0" borderId="0" xfId="5"/>
    <xf numFmtId="0" fontId="3" fillId="0" borderId="0" xfId="8"/>
    <xf numFmtId="0" fontId="0" fillId="0" borderId="0" xfId="0"/>
    <xf numFmtId="0" fontId="19" fillId="0" borderId="0" xfId="0" applyFont="1"/>
    <xf numFmtId="10" fontId="19" fillId="0" borderId="0" xfId="6" applyNumberFormat="1" applyFont="1"/>
    <xf numFmtId="0" fontId="20" fillId="0" borderId="0" xfId="0" applyFont="1"/>
    <xf numFmtId="0" fontId="21" fillId="0" borderId="0" xfId="5" applyFont="1"/>
    <xf numFmtId="170" fontId="19" fillId="0" borderId="0" xfId="0" applyNumberFormat="1" applyFont="1"/>
    <xf numFmtId="0" fontId="19" fillId="0" borderId="0" xfId="0" applyFont="1" applyAlignment="1">
      <alignment wrapText="1"/>
    </xf>
    <xf numFmtId="2" fontId="20" fillId="0" borderId="0" xfId="0" applyNumberFormat="1" applyFont="1" applyAlignment="1">
      <alignment vertical="center"/>
    </xf>
    <xf numFmtId="0" fontId="20" fillId="0" borderId="0" xfId="0" applyFont="1" applyAlignment="1">
      <alignment vertical="center"/>
    </xf>
    <xf numFmtId="15" fontId="19" fillId="0" borderId="0" xfId="0" applyNumberFormat="1" applyFont="1"/>
    <xf numFmtId="0" fontId="0" fillId="0" borderId="0" xfId="0"/>
    <xf numFmtId="0" fontId="8" fillId="0" borderId="0" xfId="0" applyFont="1"/>
    <xf numFmtId="165" fontId="7" fillId="0" borderId="0" xfId="0" applyNumberFormat="1" applyFont="1"/>
    <xf numFmtId="0" fontId="6" fillId="0" borderId="0" xfId="0" applyFont="1" applyBorder="1"/>
    <xf numFmtId="1" fontId="0" fillId="0" borderId="0" xfId="0" applyNumberFormat="1"/>
    <xf numFmtId="0" fontId="19" fillId="0" borderId="0" xfId="0" applyFont="1"/>
    <xf numFmtId="10" fontId="19" fillId="0" borderId="0" xfId="6" applyNumberFormat="1" applyFont="1"/>
    <xf numFmtId="0" fontId="20" fillId="0" borderId="0" xfId="0" applyFont="1"/>
    <xf numFmtId="0" fontId="0" fillId="0" borderId="0" xfId="0" applyAlignment="1">
      <alignment horizontal="left"/>
    </xf>
    <xf numFmtId="1" fontId="0" fillId="0" borderId="0" xfId="0" applyNumberFormat="1" applyFont="1" applyBorder="1"/>
    <xf numFmtId="0" fontId="6" fillId="0" borderId="0" xfId="0" applyFont="1"/>
    <xf numFmtId="0" fontId="0" fillId="0" borderId="0" xfId="0" applyAlignment="1">
      <alignment wrapText="1"/>
    </xf>
    <xf numFmtId="0" fontId="0" fillId="0" borderId="0" xfId="0" applyAlignment="1">
      <alignment vertical="center" wrapText="1"/>
    </xf>
    <xf numFmtId="0" fontId="23" fillId="0" borderId="0" xfId="0" applyFont="1"/>
    <xf numFmtId="1" fontId="19" fillId="0" borderId="0" xfId="0" applyNumberFormat="1" applyFont="1"/>
    <xf numFmtId="10" fontId="20" fillId="0" borderId="0" xfId="6" applyNumberFormat="1" applyFont="1"/>
    <xf numFmtId="0" fontId="6" fillId="0" borderId="0" xfId="0" applyFont="1" applyAlignment="1">
      <alignment wrapText="1"/>
    </xf>
    <xf numFmtId="0" fontId="0" fillId="0" borderId="0" xfId="0" applyAlignment="1">
      <alignment horizontal="center" wrapText="1"/>
    </xf>
    <xf numFmtId="0" fontId="1" fillId="0" borderId="0" xfId="7" applyFont="1"/>
    <xf numFmtId="0" fontId="1" fillId="0" borderId="0" xfId="7" applyFont="1" applyBorder="1"/>
    <xf numFmtId="0" fontId="1" fillId="0" borderId="16" xfId="7" applyFont="1" applyBorder="1"/>
    <xf numFmtId="17" fontId="1" fillId="0" borderId="19" xfId="7" applyNumberFormat="1" applyFont="1" applyBorder="1"/>
    <xf numFmtId="0" fontId="1" fillId="0" borderId="17" xfId="7" applyFont="1" applyBorder="1"/>
    <xf numFmtId="49" fontId="1" fillId="0" borderId="0" xfId="7" applyNumberFormat="1" applyFont="1"/>
    <xf numFmtId="171" fontId="6" fillId="0" borderId="9" xfId="0" applyNumberFormat="1" applyFont="1" applyBorder="1"/>
    <xf numFmtId="172" fontId="6" fillId="0" borderId="9" xfId="0" applyNumberFormat="1" applyFont="1" applyBorder="1"/>
    <xf numFmtId="173" fontId="6" fillId="0" borderId="9" xfId="0" applyNumberFormat="1" applyFont="1" applyBorder="1"/>
    <xf numFmtId="174" fontId="9" fillId="2" borderId="3" xfId="0" applyNumberFormat="1" applyFont="1" applyFill="1" applyBorder="1"/>
    <xf numFmtId="175" fontId="9" fillId="2" borderId="3" xfId="0" applyNumberFormat="1" applyFont="1" applyFill="1" applyBorder="1"/>
    <xf numFmtId="9" fontId="9" fillId="2" borderId="3" xfId="0" applyNumberFormat="1" applyFont="1" applyFill="1" applyBorder="1"/>
    <xf numFmtId="0" fontId="19" fillId="0" borderId="0" xfId="0" applyFont="1" applyFill="1"/>
    <xf numFmtId="9" fontId="19" fillId="0" borderId="0" xfId="6" applyFont="1" applyFill="1"/>
    <xf numFmtId="176" fontId="19" fillId="0" borderId="0" xfId="0" applyNumberFormat="1" applyFont="1"/>
    <xf numFmtId="0" fontId="0" fillId="0" borderId="0" xfId="0" applyFill="1"/>
    <xf numFmtId="0" fontId="19" fillId="0" borderId="0" xfId="0" applyFont="1" applyFill="1" applyAlignment="1">
      <alignment wrapText="1"/>
    </xf>
    <xf numFmtId="0" fontId="21" fillId="0" borderId="0" xfId="5" applyFont="1" applyFill="1"/>
    <xf numFmtId="170" fontId="19" fillId="0" borderId="0" xfId="0" applyNumberFormat="1" applyFont="1" applyFill="1"/>
    <xf numFmtId="0" fontId="24" fillId="0" borderId="0" xfId="8" applyFont="1"/>
    <xf numFmtId="0" fontId="25" fillId="0" borderId="0" xfId="8" applyFont="1"/>
    <xf numFmtId="0" fontId="26" fillId="0" borderId="0" xfId="8" applyFont="1"/>
    <xf numFmtId="43" fontId="25" fillId="0" borderId="0" xfId="8" applyNumberFormat="1" applyFont="1"/>
    <xf numFmtId="169" fontId="25" fillId="0" borderId="0" xfId="8" applyNumberFormat="1" applyFont="1"/>
    <xf numFmtId="0" fontId="27" fillId="0" borderId="0" xfId="8" applyFont="1"/>
    <xf numFmtId="0" fontId="25" fillId="0" borderId="0" xfId="8" applyFont="1" applyFill="1"/>
    <xf numFmtId="1" fontId="17" fillId="0" borderId="0" xfId="9" applyNumberFormat="1" applyFont="1" applyFill="1"/>
    <xf numFmtId="169" fontId="17" fillId="0" borderId="0" xfId="9" applyNumberFormat="1" applyFont="1" applyFill="1"/>
    <xf numFmtId="0" fontId="25" fillId="0" borderId="0" xfId="7" applyFont="1"/>
    <xf numFmtId="0" fontId="24" fillId="0" borderId="0" xfId="1" applyFont="1"/>
    <xf numFmtId="0" fontId="25" fillId="0" borderId="0" xfId="1" applyFont="1"/>
    <xf numFmtId="167" fontId="25" fillId="0" borderId="0" xfId="1" applyNumberFormat="1" applyFont="1"/>
    <xf numFmtId="3" fontId="25" fillId="0" borderId="0" xfId="1" applyNumberFormat="1" applyFont="1"/>
    <xf numFmtId="0" fontId="28" fillId="0" borderId="0" xfId="5" applyFont="1" applyAlignment="1">
      <alignment wrapText="1"/>
    </xf>
    <xf numFmtId="0" fontId="25" fillId="0" borderId="0" xfId="1" applyFont="1" applyAlignment="1"/>
    <xf numFmtId="0" fontId="28" fillId="0" borderId="0" xfId="5" applyFont="1" applyAlignment="1"/>
    <xf numFmtId="0" fontId="28" fillId="0" borderId="0" xfId="2" applyFont="1" applyAlignment="1"/>
    <xf numFmtId="0" fontId="28" fillId="0" borderId="0" xfId="2" applyFont="1" applyAlignment="1">
      <alignment wrapText="1"/>
    </xf>
    <xf numFmtId="0" fontId="25" fillId="0" borderId="0" xfId="1" applyFont="1" applyAlignment="1">
      <alignment wrapText="1"/>
    </xf>
    <xf numFmtId="0" fontId="25" fillId="3" borderId="0" xfId="1" applyFont="1" applyFill="1" applyAlignment="1">
      <alignment vertical="top" wrapText="1"/>
    </xf>
    <xf numFmtId="0" fontId="29" fillId="0" borderId="0" xfId="1" applyFont="1"/>
    <xf numFmtId="167" fontId="24" fillId="0" borderId="0" xfId="1" applyNumberFormat="1" applyFont="1"/>
    <xf numFmtId="0" fontId="24" fillId="0" borderId="0" xfId="1" applyFont="1" applyAlignment="1">
      <alignment wrapText="1"/>
    </xf>
    <xf numFmtId="168" fontId="25" fillId="0" borderId="0" xfId="1" applyNumberFormat="1" applyFont="1"/>
    <xf numFmtId="0" fontId="30" fillId="0" borderId="0" xfId="4" applyNumberFormat="1" applyFont="1"/>
    <xf numFmtId="14" fontId="30" fillId="0" borderId="0" xfId="4" applyNumberFormat="1" applyFont="1"/>
    <xf numFmtId="2" fontId="30" fillId="0" borderId="0" xfId="4" applyNumberFormat="1" applyFont="1"/>
    <xf numFmtId="0" fontId="10" fillId="0" borderId="0" xfId="4" applyNumberFormat="1" applyFont="1"/>
    <xf numFmtId="1" fontId="17" fillId="0" borderId="0" xfId="8" applyNumberFormat="1" applyFont="1" applyFill="1"/>
    <xf numFmtId="0" fontId="17" fillId="0" borderId="0" xfId="8" applyFont="1" applyFill="1"/>
    <xf numFmtId="169" fontId="6" fillId="0" borderId="0" xfId="9" applyNumberFormat="1" applyFont="1" applyFill="1"/>
    <xf numFmtId="3" fontId="17" fillId="0" borderId="0" xfId="8" applyNumberFormat="1" applyFont="1" applyFill="1"/>
    <xf numFmtId="0" fontId="17" fillId="0" borderId="0" xfId="8" applyFont="1"/>
    <xf numFmtId="0" fontId="17" fillId="0" borderId="0" xfId="8" applyFont="1" applyAlignment="1">
      <alignment horizontal="right"/>
    </xf>
    <xf numFmtId="2" fontId="17" fillId="0" borderId="0" xfId="8" applyNumberFormat="1" applyFont="1"/>
    <xf numFmtId="17" fontId="4" fillId="0" borderId="0" xfId="7" applyNumberFormat="1" applyAlignment="1">
      <alignment horizontal="center"/>
    </xf>
    <xf numFmtId="0" fontId="4" fillId="0" borderId="0" xfId="7" applyAlignment="1">
      <alignment horizontal="center"/>
    </xf>
    <xf numFmtId="0" fontId="24" fillId="0" borderId="0" xfId="1" applyFont="1" applyAlignment="1">
      <alignment horizontal="center"/>
    </xf>
  </cellXfs>
  <cellStyles count="14">
    <cellStyle name="Comma 2" xfId="3" xr:uid="{95389C4E-7597-4FB7-9E28-187FC30898DC}"/>
    <cellStyle name="Comma 2 2" xfId="11" xr:uid="{95389C4E-7597-4FB7-9E28-187FC30898DC}"/>
    <cellStyle name="Comma 3" xfId="9" xr:uid="{719EF83C-0CAE-431A-B4F1-74153489E04A}"/>
    <cellStyle name="Comma 4" xfId="12" xr:uid="{00000000-0005-0000-0000-000038000000}"/>
    <cellStyle name="Hyperlink" xfId="5" builtinId="8"/>
    <cellStyle name="Hyperlink 2" xfId="2" xr:uid="{B8A50162-3BB0-4C45-B89D-E5B32F8104E6}"/>
    <cellStyle name="Normal" xfId="0" builtinId="0"/>
    <cellStyle name="Normal 2" xfId="1" xr:uid="{FFF0DCD4-AD86-4666-9390-2E598129AF41}"/>
    <cellStyle name="Normal 2 2" xfId="10" xr:uid="{FFF0DCD4-AD86-4666-9390-2E598129AF41}"/>
    <cellStyle name="Normal 3" xfId="4" xr:uid="{72C223C9-6B4E-4A25-97C9-1BA4F75C5DD0}"/>
    <cellStyle name="Normal 4" xfId="7" xr:uid="{BA24F7A7-F4BC-4C1E-B78E-2D14B9F9F2C3}"/>
    <cellStyle name="Normal 4 2" xfId="13" xr:uid="{BA24F7A7-F4BC-4C1E-B78E-2D14B9F9F2C3}"/>
    <cellStyle name="Normal 5" xfId="8" xr:uid="{A18311C1-22F8-409F-88D9-22D42D18CEE9}"/>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0510159444355167E-2"/>
          <c:y val="4.7540520695384399E-2"/>
          <c:w val="0.91441092184905459"/>
          <c:h val="0.71207547920146341"/>
        </c:manualLayout>
      </c:layout>
      <c:barChart>
        <c:barDir val="col"/>
        <c:grouping val="clustered"/>
        <c:varyColors val="0"/>
        <c:ser>
          <c:idx val="2"/>
          <c:order val="2"/>
          <c:tx>
            <c:v>Écart de prix WTI-WCS</c:v>
          </c:tx>
          <c:spPr>
            <a:solidFill>
              <a:srgbClr val="C1C8DD"/>
            </a:solidFill>
            <a:ln>
              <a:solidFill>
                <a:schemeClr val="tx1"/>
              </a:solidFill>
            </a:ln>
          </c:spPr>
          <c:invertIfNegative val="0"/>
          <c:cat>
            <c:strRef>
              <c:f>'Écart de prix WTI-WCS'!$A$2:$A$54</c:f>
              <c:strCache>
                <c:ptCount val="53"/>
                <c:pt idx="0">
                  <c:v>2005T1</c:v>
                </c:pt>
                <c:pt idx="1">
                  <c:v>2005T2</c:v>
                </c:pt>
                <c:pt idx="2">
                  <c:v>2005T3</c:v>
                </c:pt>
                <c:pt idx="3">
                  <c:v>2005T4</c:v>
                </c:pt>
                <c:pt idx="4">
                  <c:v>2006T1</c:v>
                </c:pt>
                <c:pt idx="5">
                  <c:v>2006T2</c:v>
                </c:pt>
                <c:pt idx="6">
                  <c:v>2006T3</c:v>
                </c:pt>
                <c:pt idx="7">
                  <c:v>2006T4</c:v>
                </c:pt>
                <c:pt idx="8">
                  <c:v>2007T1</c:v>
                </c:pt>
                <c:pt idx="9">
                  <c:v>2007T2</c:v>
                </c:pt>
                <c:pt idx="10">
                  <c:v>2007T3</c:v>
                </c:pt>
                <c:pt idx="11">
                  <c:v>2007T4</c:v>
                </c:pt>
                <c:pt idx="12">
                  <c:v>2008T1</c:v>
                </c:pt>
                <c:pt idx="13">
                  <c:v>2008T2</c:v>
                </c:pt>
                <c:pt idx="14">
                  <c:v>2008T3</c:v>
                </c:pt>
                <c:pt idx="15">
                  <c:v>2008T4</c:v>
                </c:pt>
                <c:pt idx="16">
                  <c:v>2009T1</c:v>
                </c:pt>
                <c:pt idx="17">
                  <c:v>2009T2</c:v>
                </c:pt>
                <c:pt idx="18">
                  <c:v>2009T3</c:v>
                </c:pt>
                <c:pt idx="19">
                  <c:v>2009T4</c:v>
                </c:pt>
                <c:pt idx="20">
                  <c:v>2010T1</c:v>
                </c:pt>
                <c:pt idx="21">
                  <c:v>2010T2</c:v>
                </c:pt>
                <c:pt idx="22">
                  <c:v>2010T3</c:v>
                </c:pt>
                <c:pt idx="23">
                  <c:v>2010T4</c:v>
                </c:pt>
                <c:pt idx="24">
                  <c:v>2011T1</c:v>
                </c:pt>
                <c:pt idx="25">
                  <c:v>2011T2</c:v>
                </c:pt>
                <c:pt idx="26">
                  <c:v>2011T3</c:v>
                </c:pt>
                <c:pt idx="27">
                  <c:v>2011T4</c:v>
                </c:pt>
                <c:pt idx="28">
                  <c:v>2012T1</c:v>
                </c:pt>
                <c:pt idx="29">
                  <c:v>2012T2</c:v>
                </c:pt>
                <c:pt idx="30">
                  <c:v>2012T3</c:v>
                </c:pt>
                <c:pt idx="31">
                  <c:v>2012T4</c:v>
                </c:pt>
                <c:pt idx="32">
                  <c:v>2013T1</c:v>
                </c:pt>
                <c:pt idx="33">
                  <c:v>2013T2</c:v>
                </c:pt>
                <c:pt idx="34">
                  <c:v>2013T3</c:v>
                </c:pt>
                <c:pt idx="35">
                  <c:v>2013T4</c:v>
                </c:pt>
                <c:pt idx="36">
                  <c:v>2014T1</c:v>
                </c:pt>
                <c:pt idx="37">
                  <c:v>2014T2</c:v>
                </c:pt>
                <c:pt idx="38">
                  <c:v>2014T3</c:v>
                </c:pt>
                <c:pt idx="39">
                  <c:v>2014T4</c:v>
                </c:pt>
                <c:pt idx="40">
                  <c:v>2015T1</c:v>
                </c:pt>
                <c:pt idx="41">
                  <c:v>2015T2</c:v>
                </c:pt>
                <c:pt idx="42">
                  <c:v>2015T3</c:v>
                </c:pt>
                <c:pt idx="43">
                  <c:v>2015T4</c:v>
                </c:pt>
                <c:pt idx="44">
                  <c:v>2016T1</c:v>
                </c:pt>
                <c:pt idx="45">
                  <c:v>2016T2</c:v>
                </c:pt>
                <c:pt idx="46">
                  <c:v>2016T3</c:v>
                </c:pt>
                <c:pt idx="47">
                  <c:v>2016T4</c:v>
                </c:pt>
                <c:pt idx="48">
                  <c:v>2017T1</c:v>
                </c:pt>
                <c:pt idx="49">
                  <c:v>2017T2</c:v>
                </c:pt>
                <c:pt idx="50">
                  <c:v>2017T3</c:v>
                </c:pt>
                <c:pt idx="51">
                  <c:v>2017T4</c:v>
                </c:pt>
                <c:pt idx="52">
                  <c:v>2018T1</c:v>
                </c:pt>
              </c:strCache>
            </c:strRef>
          </c:cat>
          <c:val>
            <c:numRef>
              <c:f>'Écart de prix WTI-WCS'!$D$2:$D$54</c:f>
              <c:numCache>
                <c:formatCode>General</c:formatCode>
                <c:ptCount val="53"/>
                <c:pt idx="0">
                  <c:v>18.390000000000004</c:v>
                </c:pt>
                <c:pt idx="1">
                  <c:v>20.956666666666599</c:v>
                </c:pt>
                <c:pt idx="2">
                  <c:v>18.123333333333299</c:v>
                </c:pt>
                <c:pt idx="3">
                  <c:v>23.806666666666601</c:v>
                </c:pt>
                <c:pt idx="4">
                  <c:v>28.730000000000004</c:v>
                </c:pt>
                <c:pt idx="5">
                  <c:v>17.049999999999997</c:v>
                </c:pt>
                <c:pt idx="6">
                  <c:v>18.706666666666599</c:v>
                </c:pt>
                <c:pt idx="7">
                  <c:v>20.220000000000006</c:v>
                </c:pt>
                <c:pt idx="8">
                  <c:v>15.466666666666598</c:v>
                </c:pt>
                <c:pt idx="9">
                  <c:v>19.183333333333302</c:v>
                </c:pt>
                <c:pt idx="10">
                  <c:v>22.439999999999998</c:v>
                </c:pt>
                <c:pt idx="11">
                  <c:v>33.676666666666598</c:v>
                </c:pt>
                <c:pt idx="12">
                  <c:v>21.45333333333339</c:v>
                </c:pt>
                <c:pt idx="13">
                  <c:v>21.623333333334003</c:v>
                </c:pt>
                <c:pt idx="14">
                  <c:v>18.003333333333998</c:v>
                </c:pt>
                <c:pt idx="15">
                  <c:v>19.133333333333297</c:v>
                </c:pt>
                <c:pt idx="16">
                  <c:v>8.9333333333334011</c:v>
                </c:pt>
                <c:pt idx="17">
                  <c:v>7.4266666666666978</c:v>
                </c:pt>
                <c:pt idx="18">
                  <c:v>10.146666666666604</c:v>
                </c:pt>
                <c:pt idx="19">
                  <c:v>12.116666666666603</c:v>
                </c:pt>
                <c:pt idx="20">
                  <c:v>9.0433333333335071</c:v>
                </c:pt>
                <c:pt idx="21">
                  <c:v>14.090000000000003</c:v>
                </c:pt>
                <c:pt idx="22">
                  <c:v>15.649999999999999</c:v>
                </c:pt>
                <c:pt idx="23">
                  <c:v>18.11666666666649</c:v>
                </c:pt>
                <c:pt idx="24">
                  <c:v>22.86</c:v>
                </c:pt>
                <c:pt idx="25">
                  <c:v>17.636666666666599</c:v>
                </c:pt>
                <c:pt idx="26">
                  <c:v>17.623333333333292</c:v>
                </c:pt>
                <c:pt idx="27">
                  <c:v>10.483333333333306</c:v>
                </c:pt>
                <c:pt idx="28">
                  <c:v>21.423333333333403</c:v>
                </c:pt>
                <c:pt idx="29">
                  <c:v>22.863333333333301</c:v>
                </c:pt>
                <c:pt idx="30">
                  <c:v>21.723333333333301</c:v>
                </c:pt>
                <c:pt idx="31">
                  <c:v>18.11</c:v>
                </c:pt>
                <c:pt idx="32">
                  <c:v>31.96</c:v>
                </c:pt>
                <c:pt idx="33">
                  <c:v>19.159999999999997</c:v>
                </c:pt>
                <c:pt idx="34">
                  <c:v>17.480000000000004</c:v>
                </c:pt>
                <c:pt idx="35">
                  <c:v>32.196666666666601</c:v>
                </c:pt>
                <c:pt idx="36">
                  <c:v>23.203333333333305</c:v>
                </c:pt>
                <c:pt idx="37">
                  <c:v>20.393333333332691</c:v>
                </c:pt>
                <c:pt idx="38">
                  <c:v>20.789999999999907</c:v>
                </c:pt>
                <c:pt idx="39">
                  <c:v>14.256666666666696</c:v>
                </c:pt>
                <c:pt idx="40">
                  <c:v>14.633333333333397</c:v>
                </c:pt>
                <c:pt idx="41">
                  <c:v>11.496666666666599</c:v>
                </c:pt>
                <c:pt idx="42">
                  <c:v>13.259999999999998</c:v>
                </c:pt>
                <c:pt idx="43">
                  <c:v>14.260000000000002</c:v>
                </c:pt>
                <c:pt idx="44">
                  <c:v>13.043333333333301</c:v>
                </c:pt>
                <c:pt idx="45">
                  <c:v>12.57</c:v>
                </c:pt>
                <c:pt idx="46">
                  <c:v>14.136666666666702</c:v>
                </c:pt>
                <c:pt idx="47">
                  <c:v>14.706666666666599</c:v>
                </c:pt>
                <c:pt idx="48">
                  <c:v>13.603333333333303</c:v>
                </c:pt>
                <c:pt idx="49">
                  <c:v>9.8433333333334048</c:v>
                </c:pt>
                <c:pt idx="50">
                  <c:v>10.503333333333302</c:v>
                </c:pt>
                <c:pt idx="51">
                  <c:v>16.786666666666605</c:v>
                </c:pt>
                <c:pt idx="52">
                  <c:v>25.92</c:v>
                </c:pt>
              </c:numCache>
            </c:numRef>
          </c:val>
          <c:extLst>
            <c:ext xmlns:c16="http://schemas.microsoft.com/office/drawing/2014/chart" uri="{C3380CC4-5D6E-409C-BE32-E72D297353CC}">
              <c16:uniqueId val="{00000000-F4C5-478A-83B3-8C42FE55252C}"/>
            </c:ext>
          </c:extLst>
        </c:ser>
        <c:dLbls>
          <c:showLegendKey val="0"/>
          <c:showVal val="0"/>
          <c:showCatName val="0"/>
          <c:showSerName val="0"/>
          <c:showPercent val="0"/>
          <c:showBubbleSize val="0"/>
        </c:dLbls>
        <c:gapWidth val="150"/>
        <c:axId val="196434560"/>
        <c:axId val="196448640"/>
      </c:barChart>
      <c:lineChart>
        <c:grouping val="standard"/>
        <c:varyColors val="0"/>
        <c:ser>
          <c:idx val="0"/>
          <c:order val="0"/>
          <c:tx>
            <c:v>WCS</c:v>
          </c:tx>
          <c:spPr>
            <a:ln>
              <a:solidFill>
                <a:srgbClr val="1A4582"/>
              </a:solidFill>
            </a:ln>
          </c:spPr>
          <c:marker>
            <c:symbol val="none"/>
          </c:marker>
          <c:cat>
            <c:strRef>
              <c:f>'Écart de prix WTI-WCS'!$A$2:$A$54</c:f>
              <c:strCache>
                <c:ptCount val="53"/>
                <c:pt idx="0">
                  <c:v>2005T1</c:v>
                </c:pt>
                <c:pt idx="1">
                  <c:v>2005T2</c:v>
                </c:pt>
                <c:pt idx="2">
                  <c:v>2005T3</c:v>
                </c:pt>
                <c:pt idx="3">
                  <c:v>2005T4</c:v>
                </c:pt>
                <c:pt idx="4">
                  <c:v>2006T1</c:v>
                </c:pt>
                <c:pt idx="5">
                  <c:v>2006T2</c:v>
                </c:pt>
                <c:pt idx="6">
                  <c:v>2006T3</c:v>
                </c:pt>
                <c:pt idx="7">
                  <c:v>2006T4</c:v>
                </c:pt>
                <c:pt idx="8">
                  <c:v>2007T1</c:v>
                </c:pt>
                <c:pt idx="9">
                  <c:v>2007T2</c:v>
                </c:pt>
                <c:pt idx="10">
                  <c:v>2007T3</c:v>
                </c:pt>
                <c:pt idx="11">
                  <c:v>2007T4</c:v>
                </c:pt>
                <c:pt idx="12">
                  <c:v>2008T1</c:v>
                </c:pt>
                <c:pt idx="13">
                  <c:v>2008T2</c:v>
                </c:pt>
                <c:pt idx="14">
                  <c:v>2008T3</c:v>
                </c:pt>
                <c:pt idx="15">
                  <c:v>2008T4</c:v>
                </c:pt>
                <c:pt idx="16">
                  <c:v>2009T1</c:v>
                </c:pt>
                <c:pt idx="17">
                  <c:v>2009T2</c:v>
                </c:pt>
                <c:pt idx="18">
                  <c:v>2009T3</c:v>
                </c:pt>
                <c:pt idx="19">
                  <c:v>2009T4</c:v>
                </c:pt>
                <c:pt idx="20">
                  <c:v>2010T1</c:v>
                </c:pt>
                <c:pt idx="21">
                  <c:v>2010T2</c:v>
                </c:pt>
                <c:pt idx="22">
                  <c:v>2010T3</c:v>
                </c:pt>
                <c:pt idx="23">
                  <c:v>2010T4</c:v>
                </c:pt>
                <c:pt idx="24">
                  <c:v>2011T1</c:v>
                </c:pt>
                <c:pt idx="25">
                  <c:v>2011T2</c:v>
                </c:pt>
                <c:pt idx="26">
                  <c:v>2011T3</c:v>
                </c:pt>
                <c:pt idx="27">
                  <c:v>2011T4</c:v>
                </c:pt>
                <c:pt idx="28">
                  <c:v>2012T1</c:v>
                </c:pt>
                <c:pt idx="29">
                  <c:v>2012T2</c:v>
                </c:pt>
                <c:pt idx="30">
                  <c:v>2012T3</c:v>
                </c:pt>
                <c:pt idx="31">
                  <c:v>2012T4</c:v>
                </c:pt>
                <c:pt idx="32">
                  <c:v>2013T1</c:v>
                </c:pt>
                <c:pt idx="33">
                  <c:v>2013T2</c:v>
                </c:pt>
                <c:pt idx="34">
                  <c:v>2013T3</c:v>
                </c:pt>
                <c:pt idx="35">
                  <c:v>2013T4</c:v>
                </c:pt>
                <c:pt idx="36">
                  <c:v>2014T1</c:v>
                </c:pt>
                <c:pt idx="37">
                  <c:v>2014T2</c:v>
                </c:pt>
                <c:pt idx="38">
                  <c:v>2014T3</c:v>
                </c:pt>
                <c:pt idx="39">
                  <c:v>2014T4</c:v>
                </c:pt>
                <c:pt idx="40">
                  <c:v>2015T1</c:v>
                </c:pt>
                <c:pt idx="41">
                  <c:v>2015T2</c:v>
                </c:pt>
                <c:pt idx="42">
                  <c:v>2015T3</c:v>
                </c:pt>
                <c:pt idx="43">
                  <c:v>2015T4</c:v>
                </c:pt>
                <c:pt idx="44">
                  <c:v>2016T1</c:v>
                </c:pt>
                <c:pt idx="45">
                  <c:v>2016T2</c:v>
                </c:pt>
                <c:pt idx="46">
                  <c:v>2016T3</c:v>
                </c:pt>
                <c:pt idx="47">
                  <c:v>2016T4</c:v>
                </c:pt>
                <c:pt idx="48">
                  <c:v>2017T1</c:v>
                </c:pt>
                <c:pt idx="49">
                  <c:v>2017T2</c:v>
                </c:pt>
                <c:pt idx="50">
                  <c:v>2017T3</c:v>
                </c:pt>
                <c:pt idx="51">
                  <c:v>2017T4</c:v>
                </c:pt>
                <c:pt idx="52">
                  <c:v>2018T1</c:v>
                </c:pt>
              </c:strCache>
            </c:strRef>
          </c:cat>
          <c:val>
            <c:numRef>
              <c:f>'Écart de prix WTI-WCS'!$B$2:$B$54</c:f>
              <c:numCache>
                <c:formatCode>General</c:formatCode>
                <c:ptCount val="53"/>
                <c:pt idx="0">
                  <c:v>31.336666666666599</c:v>
                </c:pt>
                <c:pt idx="1">
                  <c:v>32.0966666666667</c:v>
                </c:pt>
                <c:pt idx="2">
                  <c:v>45.07</c:v>
                </c:pt>
                <c:pt idx="3">
                  <c:v>36.19</c:v>
                </c:pt>
                <c:pt idx="4">
                  <c:v>34.54</c:v>
                </c:pt>
                <c:pt idx="5">
                  <c:v>53.36</c:v>
                </c:pt>
                <c:pt idx="6">
                  <c:v>51.71</c:v>
                </c:pt>
                <c:pt idx="7">
                  <c:v>39.756666666666597</c:v>
                </c:pt>
                <c:pt idx="8">
                  <c:v>42.61</c:v>
                </c:pt>
                <c:pt idx="9">
                  <c:v>45.793333333333301</c:v>
                </c:pt>
                <c:pt idx="10">
                  <c:v>53.0266666666666</c:v>
                </c:pt>
                <c:pt idx="11">
                  <c:v>57.076666666666704</c:v>
                </c:pt>
                <c:pt idx="12">
                  <c:v>76.483333333333206</c:v>
                </c:pt>
                <c:pt idx="13">
                  <c:v>102.329999999999</c:v>
                </c:pt>
                <c:pt idx="14">
                  <c:v>100.046666666666</c:v>
                </c:pt>
                <c:pt idx="15">
                  <c:v>39.213333333333303</c:v>
                </c:pt>
                <c:pt idx="16">
                  <c:v>33.979999999999897</c:v>
                </c:pt>
                <c:pt idx="17">
                  <c:v>52.0133333333333</c:v>
                </c:pt>
                <c:pt idx="18">
                  <c:v>58.0566666666667</c:v>
                </c:pt>
                <c:pt idx="19">
                  <c:v>63.943333333333399</c:v>
                </c:pt>
                <c:pt idx="20">
                  <c:v>69.596666666666493</c:v>
                </c:pt>
                <c:pt idx="21">
                  <c:v>63.7</c:v>
                </c:pt>
                <c:pt idx="22">
                  <c:v>60.4033333333333</c:v>
                </c:pt>
                <c:pt idx="23">
                  <c:v>66.979999999999905</c:v>
                </c:pt>
                <c:pt idx="24">
                  <c:v>70.676666666666605</c:v>
                </c:pt>
                <c:pt idx="25">
                  <c:v>84.593333333333405</c:v>
                </c:pt>
                <c:pt idx="26">
                  <c:v>72.093333333333305</c:v>
                </c:pt>
                <c:pt idx="27">
                  <c:v>83.53</c:v>
                </c:pt>
                <c:pt idx="28">
                  <c:v>81.453333333332594</c:v>
                </c:pt>
                <c:pt idx="29">
                  <c:v>70.563333333333304</c:v>
                </c:pt>
                <c:pt idx="30">
                  <c:v>70.456666666666706</c:v>
                </c:pt>
                <c:pt idx="31">
                  <c:v>69.849999999999895</c:v>
                </c:pt>
                <c:pt idx="32">
                  <c:v>62.376666666666601</c:v>
                </c:pt>
                <c:pt idx="33">
                  <c:v>74.94</c:v>
                </c:pt>
                <c:pt idx="34">
                  <c:v>88.363333333333003</c:v>
                </c:pt>
                <c:pt idx="35">
                  <c:v>65.146666666666704</c:v>
                </c:pt>
                <c:pt idx="36">
                  <c:v>75.543333333333294</c:v>
                </c:pt>
                <c:pt idx="37">
                  <c:v>82.953333333333305</c:v>
                </c:pt>
                <c:pt idx="38">
                  <c:v>76.989999999999995</c:v>
                </c:pt>
                <c:pt idx="39">
                  <c:v>58.9033333333333</c:v>
                </c:pt>
                <c:pt idx="40">
                  <c:v>33.906666666666602</c:v>
                </c:pt>
                <c:pt idx="41">
                  <c:v>46.35</c:v>
                </c:pt>
                <c:pt idx="42">
                  <c:v>33.156666666666602</c:v>
                </c:pt>
                <c:pt idx="43">
                  <c:v>27.69</c:v>
                </c:pt>
                <c:pt idx="44">
                  <c:v>20.14</c:v>
                </c:pt>
                <c:pt idx="45">
                  <c:v>32.836666666666602</c:v>
                </c:pt>
                <c:pt idx="46">
                  <c:v>30.713333333333299</c:v>
                </c:pt>
                <c:pt idx="47">
                  <c:v>34.43</c:v>
                </c:pt>
                <c:pt idx="48">
                  <c:v>38.163333333333298</c:v>
                </c:pt>
                <c:pt idx="49">
                  <c:v>38.396666666666597</c:v>
                </c:pt>
                <c:pt idx="50">
                  <c:v>37.659999999999997</c:v>
                </c:pt>
                <c:pt idx="51">
                  <c:v>38.58</c:v>
                </c:pt>
                <c:pt idx="52">
                  <c:v>36.966666666666598</c:v>
                </c:pt>
              </c:numCache>
            </c:numRef>
          </c:val>
          <c:smooth val="0"/>
          <c:extLst>
            <c:ext xmlns:c16="http://schemas.microsoft.com/office/drawing/2014/chart" uri="{C3380CC4-5D6E-409C-BE32-E72D297353CC}">
              <c16:uniqueId val="{00000001-F4C5-478A-83B3-8C42FE55252C}"/>
            </c:ext>
          </c:extLst>
        </c:ser>
        <c:ser>
          <c:idx val="1"/>
          <c:order val="1"/>
          <c:tx>
            <c:v>WTI</c:v>
          </c:tx>
          <c:spPr>
            <a:ln>
              <a:solidFill>
                <a:srgbClr val="C4AB6C"/>
              </a:solidFill>
            </a:ln>
          </c:spPr>
          <c:marker>
            <c:symbol val="none"/>
          </c:marker>
          <c:cat>
            <c:strRef>
              <c:f>'Écart de prix WTI-WCS'!$A$2:$A$54</c:f>
              <c:strCache>
                <c:ptCount val="53"/>
                <c:pt idx="0">
                  <c:v>2005T1</c:v>
                </c:pt>
                <c:pt idx="1">
                  <c:v>2005T2</c:v>
                </c:pt>
                <c:pt idx="2">
                  <c:v>2005T3</c:v>
                </c:pt>
                <c:pt idx="3">
                  <c:v>2005T4</c:v>
                </c:pt>
                <c:pt idx="4">
                  <c:v>2006T1</c:v>
                </c:pt>
                <c:pt idx="5">
                  <c:v>2006T2</c:v>
                </c:pt>
                <c:pt idx="6">
                  <c:v>2006T3</c:v>
                </c:pt>
                <c:pt idx="7">
                  <c:v>2006T4</c:v>
                </c:pt>
                <c:pt idx="8">
                  <c:v>2007T1</c:v>
                </c:pt>
                <c:pt idx="9">
                  <c:v>2007T2</c:v>
                </c:pt>
                <c:pt idx="10">
                  <c:v>2007T3</c:v>
                </c:pt>
                <c:pt idx="11">
                  <c:v>2007T4</c:v>
                </c:pt>
                <c:pt idx="12">
                  <c:v>2008T1</c:v>
                </c:pt>
                <c:pt idx="13">
                  <c:v>2008T2</c:v>
                </c:pt>
                <c:pt idx="14">
                  <c:v>2008T3</c:v>
                </c:pt>
                <c:pt idx="15">
                  <c:v>2008T4</c:v>
                </c:pt>
                <c:pt idx="16">
                  <c:v>2009T1</c:v>
                </c:pt>
                <c:pt idx="17">
                  <c:v>2009T2</c:v>
                </c:pt>
                <c:pt idx="18">
                  <c:v>2009T3</c:v>
                </c:pt>
                <c:pt idx="19">
                  <c:v>2009T4</c:v>
                </c:pt>
                <c:pt idx="20">
                  <c:v>2010T1</c:v>
                </c:pt>
                <c:pt idx="21">
                  <c:v>2010T2</c:v>
                </c:pt>
                <c:pt idx="22">
                  <c:v>2010T3</c:v>
                </c:pt>
                <c:pt idx="23">
                  <c:v>2010T4</c:v>
                </c:pt>
                <c:pt idx="24">
                  <c:v>2011T1</c:v>
                </c:pt>
                <c:pt idx="25">
                  <c:v>2011T2</c:v>
                </c:pt>
                <c:pt idx="26">
                  <c:v>2011T3</c:v>
                </c:pt>
                <c:pt idx="27">
                  <c:v>2011T4</c:v>
                </c:pt>
                <c:pt idx="28">
                  <c:v>2012T1</c:v>
                </c:pt>
                <c:pt idx="29">
                  <c:v>2012T2</c:v>
                </c:pt>
                <c:pt idx="30">
                  <c:v>2012T3</c:v>
                </c:pt>
                <c:pt idx="31">
                  <c:v>2012T4</c:v>
                </c:pt>
                <c:pt idx="32">
                  <c:v>2013T1</c:v>
                </c:pt>
                <c:pt idx="33">
                  <c:v>2013T2</c:v>
                </c:pt>
                <c:pt idx="34">
                  <c:v>2013T3</c:v>
                </c:pt>
                <c:pt idx="35">
                  <c:v>2013T4</c:v>
                </c:pt>
                <c:pt idx="36">
                  <c:v>2014T1</c:v>
                </c:pt>
                <c:pt idx="37">
                  <c:v>2014T2</c:v>
                </c:pt>
                <c:pt idx="38">
                  <c:v>2014T3</c:v>
                </c:pt>
                <c:pt idx="39">
                  <c:v>2014T4</c:v>
                </c:pt>
                <c:pt idx="40">
                  <c:v>2015T1</c:v>
                </c:pt>
                <c:pt idx="41">
                  <c:v>2015T2</c:v>
                </c:pt>
                <c:pt idx="42">
                  <c:v>2015T3</c:v>
                </c:pt>
                <c:pt idx="43">
                  <c:v>2015T4</c:v>
                </c:pt>
                <c:pt idx="44">
                  <c:v>2016T1</c:v>
                </c:pt>
                <c:pt idx="45">
                  <c:v>2016T2</c:v>
                </c:pt>
                <c:pt idx="46">
                  <c:v>2016T3</c:v>
                </c:pt>
                <c:pt idx="47">
                  <c:v>2016T4</c:v>
                </c:pt>
                <c:pt idx="48">
                  <c:v>2017T1</c:v>
                </c:pt>
                <c:pt idx="49">
                  <c:v>2017T2</c:v>
                </c:pt>
                <c:pt idx="50">
                  <c:v>2017T3</c:v>
                </c:pt>
                <c:pt idx="51">
                  <c:v>2017T4</c:v>
                </c:pt>
                <c:pt idx="52">
                  <c:v>2018T1</c:v>
                </c:pt>
              </c:strCache>
            </c:strRef>
          </c:cat>
          <c:val>
            <c:numRef>
              <c:f>'Écart de prix WTI-WCS'!$C$2:$C$54</c:f>
              <c:numCache>
                <c:formatCode>General</c:formatCode>
                <c:ptCount val="53"/>
                <c:pt idx="0">
                  <c:v>49.726666666666603</c:v>
                </c:pt>
                <c:pt idx="1">
                  <c:v>53.053333333333299</c:v>
                </c:pt>
                <c:pt idx="2">
                  <c:v>63.1933333333333</c:v>
                </c:pt>
                <c:pt idx="3">
                  <c:v>59.996666666666599</c:v>
                </c:pt>
                <c:pt idx="4">
                  <c:v>63.27</c:v>
                </c:pt>
                <c:pt idx="5">
                  <c:v>70.41</c:v>
                </c:pt>
                <c:pt idx="6">
                  <c:v>70.4166666666666</c:v>
                </c:pt>
                <c:pt idx="7">
                  <c:v>59.976666666666603</c:v>
                </c:pt>
                <c:pt idx="8">
                  <c:v>58.076666666666597</c:v>
                </c:pt>
                <c:pt idx="9">
                  <c:v>64.976666666666603</c:v>
                </c:pt>
                <c:pt idx="10">
                  <c:v>75.466666666666598</c:v>
                </c:pt>
                <c:pt idx="11">
                  <c:v>90.753333333333302</c:v>
                </c:pt>
                <c:pt idx="12">
                  <c:v>97.936666666666596</c:v>
                </c:pt>
                <c:pt idx="13">
                  <c:v>123.95333333333301</c:v>
                </c:pt>
                <c:pt idx="14">
                  <c:v>118.05</c:v>
                </c:pt>
                <c:pt idx="15">
                  <c:v>58.3466666666666</c:v>
                </c:pt>
                <c:pt idx="16">
                  <c:v>42.913333333333298</c:v>
                </c:pt>
                <c:pt idx="17">
                  <c:v>59.44</c:v>
                </c:pt>
                <c:pt idx="18">
                  <c:v>68.203333333333305</c:v>
                </c:pt>
                <c:pt idx="19">
                  <c:v>76.06</c:v>
                </c:pt>
                <c:pt idx="20">
                  <c:v>78.64</c:v>
                </c:pt>
                <c:pt idx="21">
                  <c:v>77.790000000000006</c:v>
                </c:pt>
                <c:pt idx="22">
                  <c:v>76.053333333333299</c:v>
                </c:pt>
                <c:pt idx="23">
                  <c:v>85.096666666666394</c:v>
                </c:pt>
                <c:pt idx="24">
                  <c:v>93.536666666666605</c:v>
                </c:pt>
                <c:pt idx="25">
                  <c:v>102.23</c:v>
                </c:pt>
                <c:pt idx="26">
                  <c:v>89.716666666666598</c:v>
                </c:pt>
                <c:pt idx="27">
                  <c:v>94.013333333333307</c:v>
                </c:pt>
                <c:pt idx="28">
                  <c:v>102.876666666666</c:v>
                </c:pt>
                <c:pt idx="29">
                  <c:v>93.426666666666605</c:v>
                </c:pt>
                <c:pt idx="30">
                  <c:v>92.18</c:v>
                </c:pt>
                <c:pt idx="31">
                  <c:v>87.959999999999894</c:v>
                </c:pt>
                <c:pt idx="32">
                  <c:v>94.336666666666602</c:v>
                </c:pt>
                <c:pt idx="33">
                  <c:v>94.1</c:v>
                </c:pt>
                <c:pt idx="34">
                  <c:v>105.84333333333301</c:v>
                </c:pt>
                <c:pt idx="35">
                  <c:v>97.343333333333305</c:v>
                </c:pt>
                <c:pt idx="36">
                  <c:v>98.746666666666599</c:v>
                </c:pt>
                <c:pt idx="37">
                  <c:v>103.346666666666</c:v>
                </c:pt>
                <c:pt idx="38">
                  <c:v>97.779999999999902</c:v>
                </c:pt>
                <c:pt idx="39">
                  <c:v>73.16</c:v>
                </c:pt>
                <c:pt idx="40">
                  <c:v>48.54</c:v>
                </c:pt>
                <c:pt idx="41">
                  <c:v>57.8466666666666</c:v>
                </c:pt>
                <c:pt idx="42">
                  <c:v>46.4166666666666</c:v>
                </c:pt>
                <c:pt idx="43">
                  <c:v>41.95</c:v>
                </c:pt>
                <c:pt idx="44">
                  <c:v>33.183333333333302</c:v>
                </c:pt>
                <c:pt idx="45">
                  <c:v>45.406666666666602</c:v>
                </c:pt>
                <c:pt idx="46">
                  <c:v>44.85</c:v>
                </c:pt>
                <c:pt idx="47">
                  <c:v>49.136666666666599</c:v>
                </c:pt>
                <c:pt idx="48">
                  <c:v>51.766666666666602</c:v>
                </c:pt>
                <c:pt idx="49">
                  <c:v>48.24</c:v>
                </c:pt>
                <c:pt idx="50">
                  <c:v>48.163333333333298</c:v>
                </c:pt>
                <c:pt idx="51">
                  <c:v>55.366666666666603</c:v>
                </c:pt>
                <c:pt idx="52">
                  <c:v>62.886666666666599</c:v>
                </c:pt>
              </c:numCache>
            </c:numRef>
          </c:val>
          <c:smooth val="0"/>
          <c:extLst>
            <c:ext xmlns:c16="http://schemas.microsoft.com/office/drawing/2014/chart" uri="{C3380CC4-5D6E-409C-BE32-E72D297353CC}">
              <c16:uniqueId val="{00000002-F4C5-478A-83B3-8C42FE55252C}"/>
            </c:ext>
          </c:extLst>
        </c:ser>
        <c:dLbls>
          <c:showLegendKey val="0"/>
          <c:showVal val="0"/>
          <c:showCatName val="0"/>
          <c:showSerName val="0"/>
          <c:showPercent val="0"/>
          <c:showBubbleSize val="0"/>
        </c:dLbls>
        <c:marker val="1"/>
        <c:smooth val="0"/>
        <c:axId val="196434560"/>
        <c:axId val="196448640"/>
      </c:lineChart>
      <c:catAx>
        <c:axId val="196434560"/>
        <c:scaling>
          <c:orientation val="minMax"/>
        </c:scaling>
        <c:delete val="0"/>
        <c:axPos val="b"/>
        <c:title>
          <c:tx>
            <c:rich>
              <a:bodyPr rot="0" vert="horz"/>
              <a:lstStyle/>
              <a:p>
                <a:pPr>
                  <a:defRPr/>
                </a:pPr>
                <a:r>
                  <a:rPr lang="en-CA" b="0" i="1"/>
                  <a:t>$ US le baril</a:t>
                </a:r>
              </a:p>
            </c:rich>
          </c:tx>
          <c:layout>
            <c:manualLayout>
              <c:xMode val="edge"/>
              <c:yMode val="edge"/>
              <c:x val="8.8445741895587224E-2"/>
              <c:y val="2.5331671670537587E-2"/>
            </c:manualLayout>
          </c:layout>
          <c:overlay val="0"/>
        </c:title>
        <c:numFmt formatCode="General" sourceLinked="1"/>
        <c:majorTickMark val="out"/>
        <c:minorTickMark val="none"/>
        <c:tickLblPos val="nextTo"/>
        <c:spPr>
          <a:ln>
            <a:solidFill>
              <a:schemeClr val="bg1">
                <a:lumMod val="50000"/>
              </a:schemeClr>
            </a:solidFill>
          </a:ln>
        </c:spPr>
        <c:txPr>
          <a:bodyPr rot="0"/>
          <a:lstStyle/>
          <a:p>
            <a:pPr>
              <a:defRPr/>
            </a:pPr>
            <a:endParaRPr lang="en-US"/>
          </a:p>
        </c:txPr>
        <c:crossAx val="196448640"/>
        <c:crosses val="autoZero"/>
        <c:auto val="1"/>
        <c:lblAlgn val="ctr"/>
        <c:lblOffset val="100"/>
        <c:tickLblSkip val="8"/>
        <c:tickMarkSkip val="1"/>
        <c:noMultiLvlLbl val="0"/>
      </c:catAx>
      <c:valAx>
        <c:axId val="196448640"/>
        <c:scaling>
          <c:orientation val="minMax"/>
        </c:scaling>
        <c:delete val="0"/>
        <c:axPos val="l"/>
        <c:majorGridlines>
          <c:spPr>
            <a:ln>
              <a:noFill/>
            </a:ln>
          </c:spPr>
        </c:majorGridlines>
        <c:numFmt formatCode="#,##0" sourceLinked="0"/>
        <c:majorTickMark val="out"/>
        <c:minorTickMark val="none"/>
        <c:tickLblPos val="nextTo"/>
        <c:spPr>
          <a:ln>
            <a:solidFill>
              <a:schemeClr val="bg1">
                <a:lumMod val="50000"/>
              </a:schemeClr>
            </a:solidFill>
          </a:ln>
        </c:spPr>
        <c:crossAx val="196434560"/>
        <c:crosses val="autoZero"/>
        <c:crossBetween val="between"/>
      </c:valAx>
    </c:plotArea>
    <c:legend>
      <c:legendPos val="b"/>
      <c:layout>
        <c:manualLayout>
          <c:xMode val="edge"/>
          <c:yMode val="edge"/>
          <c:x val="2.1683198084673926E-4"/>
          <c:y val="0.84859117430465081"/>
          <c:w val="0.9854435606263503"/>
          <c:h val="0.14872385270023064"/>
        </c:manualLayout>
      </c:layout>
      <c:overlay val="0"/>
      <c:spPr>
        <a:solidFill>
          <a:schemeClr val="bg1"/>
        </a:solidFill>
        <a:effectLst/>
      </c:spPr>
    </c:legend>
    <c:plotVisOnly val="1"/>
    <c:dispBlanksAs val="gap"/>
    <c:showDLblsOverMax val="0"/>
  </c:chart>
  <c:spPr>
    <a:ln>
      <a:noFill/>
    </a:ln>
  </c:spPr>
  <c:txPr>
    <a:bodyPr/>
    <a:lstStyle/>
    <a:p>
      <a:pPr>
        <a:defRPr sz="800">
          <a:latin typeface="Segoe UI" panose="020B0502040204020203" pitchFamily="34" charset="0"/>
          <a:ea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Prix et écarts</a:t>
            </a:r>
            <a:endParaRPr lang="en-CA" baseline="0"/>
          </a:p>
        </c:rich>
      </c:tx>
      <c:layout>
        <c:manualLayout>
          <c:xMode val="edge"/>
          <c:yMode val="edge"/>
          <c:x val="0.29790670975953681"/>
          <c:y val="2.33590282644241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'Écarts de prix'!$B$1</c:f>
              <c:strCache>
                <c:ptCount val="1"/>
                <c:pt idx="0">
                  <c:v>wti</c:v>
                </c:pt>
              </c:strCache>
            </c:strRef>
          </c:tx>
          <c:spPr>
            <a:ln w="28575" cap="rnd">
              <a:solidFill>
                <a:schemeClr val="accent1"/>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prix'!$B$2:$B$117</c:f>
              <c:numCache>
                <c:formatCode>General</c:formatCode>
                <c:ptCount val="116"/>
                <c:pt idx="0">
                  <c:v>41.92</c:v>
                </c:pt>
                <c:pt idx="1">
                  <c:v>39.26</c:v>
                </c:pt>
                <c:pt idx="2">
                  <c:v>48.06</c:v>
                </c:pt>
                <c:pt idx="3">
                  <c:v>49.95</c:v>
                </c:pt>
                <c:pt idx="4">
                  <c:v>59.21</c:v>
                </c:pt>
                <c:pt idx="5">
                  <c:v>69.7</c:v>
                </c:pt>
                <c:pt idx="6">
                  <c:v>64.290000000000006</c:v>
                </c:pt>
                <c:pt idx="7">
                  <c:v>71.14</c:v>
                </c:pt>
                <c:pt idx="8">
                  <c:v>69.47</c:v>
                </c:pt>
                <c:pt idx="9">
                  <c:v>75.819999999999993</c:v>
                </c:pt>
                <c:pt idx="10">
                  <c:v>78.150000000000006</c:v>
                </c:pt>
                <c:pt idx="11">
                  <c:v>74.599999999999994</c:v>
                </c:pt>
                <c:pt idx="12">
                  <c:v>78.400000000000006</c:v>
                </c:pt>
                <c:pt idx="13">
                  <c:v>76.45</c:v>
                </c:pt>
                <c:pt idx="14">
                  <c:v>81.290000000000006</c:v>
                </c:pt>
                <c:pt idx="15">
                  <c:v>84.58</c:v>
                </c:pt>
                <c:pt idx="16">
                  <c:v>74.12</c:v>
                </c:pt>
                <c:pt idx="17">
                  <c:v>75.41</c:v>
                </c:pt>
                <c:pt idx="18">
                  <c:v>76.38</c:v>
                </c:pt>
                <c:pt idx="19">
                  <c:v>76.67</c:v>
                </c:pt>
                <c:pt idx="20">
                  <c:v>75.55</c:v>
                </c:pt>
                <c:pt idx="21">
                  <c:v>81.95</c:v>
                </c:pt>
                <c:pt idx="22">
                  <c:v>84.32</c:v>
                </c:pt>
                <c:pt idx="23">
                  <c:v>89.23</c:v>
                </c:pt>
                <c:pt idx="24">
                  <c:v>89.58</c:v>
                </c:pt>
                <c:pt idx="25">
                  <c:v>89.74</c:v>
                </c:pt>
                <c:pt idx="26">
                  <c:v>102.98</c:v>
                </c:pt>
                <c:pt idx="27">
                  <c:v>110.04</c:v>
                </c:pt>
                <c:pt idx="28">
                  <c:v>101.36</c:v>
                </c:pt>
                <c:pt idx="29">
                  <c:v>96.29</c:v>
                </c:pt>
                <c:pt idx="30">
                  <c:v>97.34</c:v>
                </c:pt>
                <c:pt idx="31">
                  <c:v>86.34</c:v>
                </c:pt>
                <c:pt idx="32">
                  <c:v>85.61</c:v>
                </c:pt>
                <c:pt idx="33">
                  <c:v>86.43</c:v>
                </c:pt>
                <c:pt idx="34">
                  <c:v>97.16</c:v>
                </c:pt>
                <c:pt idx="35">
                  <c:v>98.58</c:v>
                </c:pt>
                <c:pt idx="36">
                  <c:v>100.32</c:v>
                </c:pt>
                <c:pt idx="37">
                  <c:v>102.26</c:v>
                </c:pt>
                <c:pt idx="38">
                  <c:v>106.21</c:v>
                </c:pt>
                <c:pt idx="39">
                  <c:v>103.35</c:v>
                </c:pt>
                <c:pt idx="40">
                  <c:v>94.72</c:v>
                </c:pt>
                <c:pt idx="41">
                  <c:v>82.41</c:v>
                </c:pt>
                <c:pt idx="42">
                  <c:v>87.93</c:v>
                </c:pt>
                <c:pt idx="43">
                  <c:v>94.16</c:v>
                </c:pt>
                <c:pt idx="44">
                  <c:v>94.56</c:v>
                </c:pt>
                <c:pt idx="45">
                  <c:v>89.57</c:v>
                </c:pt>
                <c:pt idx="46">
                  <c:v>86.73</c:v>
                </c:pt>
                <c:pt idx="47">
                  <c:v>88.25</c:v>
                </c:pt>
                <c:pt idx="48">
                  <c:v>94.83</c:v>
                </c:pt>
                <c:pt idx="49">
                  <c:v>95.32</c:v>
                </c:pt>
                <c:pt idx="50">
                  <c:v>92.96</c:v>
                </c:pt>
                <c:pt idx="51">
                  <c:v>92.07</c:v>
                </c:pt>
                <c:pt idx="52">
                  <c:v>94.8</c:v>
                </c:pt>
                <c:pt idx="53">
                  <c:v>95.8</c:v>
                </c:pt>
                <c:pt idx="54">
                  <c:v>104.7</c:v>
                </c:pt>
                <c:pt idx="55">
                  <c:v>106.54</c:v>
                </c:pt>
                <c:pt idx="56">
                  <c:v>106.24</c:v>
                </c:pt>
                <c:pt idx="57">
                  <c:v>100.55</c:v>
                </c:pt>
                <c:pt idx="58">
                  <c:v>93.93</c:v>
                </c:pt>
                <c:pt idx="59">
                  <c:v>97.89</c:v>
                </c:pt>
                <c:pt idx="60">
                  <c:v>94.86</c:v>
                </c:pt>
                <c:pt idx="61">
                  <c:v>100.68</c:v>
                </c:pt>
                <c:pt idx="62">
                  <c:v>100.51</c:v>
                </c:pt>
                <c:pt idx="63">
                  <c:v>102.04</c:v>
                </c:pt>
                <c:pt idx="64">
                  <c:v>101.8</c:v>
                </c:pt>
                <c:pt idx="65">
                  <c:v>105.15</c:v>
                </c:pt>
                <c:pt idx="66">
                  <c:v>102.39</c:v>
                </c:pt>
                <c:pt idx="67">
                  <c:v>96.08</c:v>
                </c:pt>
                <c:pt idx="68">
                  <c:v>93.03</c:v>
                </c:pt>
                <c:pt idx="69">
                  <c:v>84.34</c:v>
                </c:pt>
                <c:pt idx="70">
                  <c:v>75.81</c:v>
                </c:pt>
                <c:pt idx="71">
                  <c:v>59.29</c:v>
                </c:pt>
                <c:pt idx="72">
                  <c:v>47.22</c:v>
                </c:pt>
                <c:pt idx="73">
                  <c:v>50.58</c:v>
                </c:pt>
                <c:pt idx="74">
                  <c:v>47.82</c:v>
                </c:pt>
                <c:pt idx="75">
                  <c:v>54.45</c:v>
                </c:pt>
                <c:pt idx="76">
                  <c:v>59.27</c:v>
                </c:pt>
                <c:pt idx="77">
                  <c:v>59.82</c:v>
                </c:pt>
                <c:pt idx="78">
                  <c:v>50.9</c:v>
                </c:pt>
                <c:pt idx="79">
                  <c:v>42.87</c:v>
                </c:pt>
                <c:pt idx="80">
                  <c:v>45.48</c:v>
                </c:pt>
                <c:pt idx="81">
                  <c:v>46.22</c:v>
                </c:pt>
                <c:pt idx="82">
                  <c:v>42.44</c:v>
                </c:pt>
                <c:pt idx="83">
                  <c:v>37.19</c:v>
                </c:pt>
                <c:pt idx="84">
                  <c:v>31.68</c:v>
                </c:pt>
                <c:pt idx="85">
                  <c:v>30.32</c:v>
                </c:pt>
                <c:pt idx="86">
                  <c:v>37.549999999999997</c:v>
                </c:pt>
                <c:pt idx="87">
                  <c:v>40.75</c:v>
                </c:pt>
                <c:pt idx="88">
                  <c:v>46.71</c:v>
                </c:pt>
                <c:pt idx="89">
                  <c:v>48.76</c:v>
                </c:pt>
                <c:pt idx="90">
                  <c:v>44.65</c:v>
                </c:pt>
                <c:pt idx="91">
                  <c:v>44.72</c:v>
                </c:pt>
                <c:pt idx="92">
                  <c:v>45.18</c:v>
                </c:pt>
                <c:pt idx="93">
                  <c:v>49.78</c:v>
                </c:pt>
                <c:pt idx="94">
                  <c:v>45.66</c:v>
                </c:pt>
                <c:pt idx="95">
                  <c:v>51.97</c:v>
                </c:pt>
                <c:pt idx="96">
                  <c:v>52.5</c:v>
                </c:pt>
                <c:pt idx="97">
                  <c:v>53.47</c:v>
                </c:pt>
                <c:pt idx="98">
                  <c:v>49.33</c:v>
                </c:pt>
                <c:pt idx="99">
                  <c:v>51.06</c:v>
                </c:pt>
                <c:pt idx="100">
                  <c:v>48.48</c:v>
                </c:pt>
                <c:pt idx="101">
                  <c:v>45.18</c:v>
                </c:pt>
                <c:pt idx="102">
                  <c:v>46.63</c:v>
                </c:pt>
                <c:pt idx="103">
                  <c:v>48.04</c:v>
                </c:pt>
                <c:pt idx="104">
                  <c:v>49.82</c:v>
                </c:pt>
                <c:pt idx="105">
                  <c:v>51.58</c:v>
                </c:pt>
                <c:pt idx="106">
                  <c:v>56.64</c:v>
                </c:pt>
                <c:pt idx="107">
                  <c:v>57.88</c:v>
                </c:pt>
                <c:pt idx="108">
                  <c:v>63.7</c:v>
                </c:pt>
                <c:pt idx="109">
                  <c:v>62.23</c:v>
                </c:pt>
                <c:pt idx="110">
                  <c:v>62.73</c:v>
                </c:pt>
                <c:pt idx="111">
                  <c:v>66.25</c:v>
                </c:pt>
                <c:pt idx="112">
                  <c:v>69.98</c:v>
                </c:pt>
                <c:pt idx="113">
                  <c:v>67.87</c:v>
                </c:pt>
                <c:pt idx="114">
                  <c:v>70.98</c:v>
                </c:pt>
                <c:pt idx="115">
                  <c:v>68.06</c:v>
                </c:pt>
              </c:numCache>
            </c:numRef>
          </c:val>
          <c:smooth val="0"/>
          <c:extLst>
            <c:ext xmlns:c16="http://schemas.microsoft.com/office/drawing/2014/chart" uri="{C3380CC4-5D6E-409C-BE32-E72D297353CC}">
              <c16:uniqueId val="{00000000-A0C0-449A-B59D-153BEA9311F5}"/>
            </c:ext>
          </c:extLst>
        </c:ser>
        <c:ser>
          <c:idx val="1"/>
          <c:order val="1"/>
          <c:tx>
            <c:strRef>
              <c:f>'Écarts de prix'!$C$1</c:f>
              <c:strCache>
                <c:ptCount val="1"/>
                <c:pt idx="0">
                  <c:v>wcs</c:v>
                </c:pt>
              </c:strCache>
            </c:strRef>
          </c:tx>
          <c:spPr>
            <a:ln w="28575" cap="rnd">
              <a:solidFill>
                <a:schemeClr val="accent2"/>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prix'!$C$2:$C$117</c:f>
              <c:numCache>
                <c:formatCode>General</c:formatCode>
                <c:ptCount val="116"/>
                <c:pt idx="0">
                  <c:v>29.97</c:v>
                </c:pt>
                <c:pt idx="1">
                  <c:v>31.71</c:v>
                </c:pt>
                <c:pt idx="2">
                  <c:v>40.76</c:v>
                </c:pt>
                <c:pt idx="3">
                  <c:v>43.76</c:v>
                </c:pt>
                <c:pt idx="4">
                  <c:v>51.64</c:v>
                </c:pt>
                <c:pt idx="5">
                  <c:v>61.18</c:v>
                </c:pt>
                <c:pt idx="6">
                  <c:v>54.45</c:v>
                </c:pt>
                <c:pt idx="7">
                  <c:v>60.57</c:v>
                </c:pt>
                <c:pt idx="8">
                  <c:v>59.52</c:v>
                </c:pt>
                <c:pt idx="9">
                  <c:v>65.290000000000006</c:v>
                </c:pt>
                <c:pt idx="10">
                  <c:v>65.040000000000006</c:v>
                </c:pt>
                <c:pt idx="11">
                  <c:v>61.89</c:v>
                </c:pt>
                <c:pt idx="12">
                  <c:v>69.28</c:v>
                </c:pt>
                <c:pt idx="13">
                  <c:v>67.91</c:v>
                </c:pt>
                <c:pt idx="14">
                  <c:v>71.819999999999993</c:v>
                </c:pt>
                <c:pt idx="15">
                  <c:v>72.02</c:v>
                </c:pt>
                <c:pt idx="16">
                  <c:v>57.49</c:v>
                </c:pt>
                <c:pt idx="17">
                  <c:v>62.33</c:v>
                </c:pt>
                <c:pt idx="18">
                  <c:v>64.28</c:v>
                </c:pt>
                <c:pt idx="19">
                  <c:v>61.93</c:v>
                </c:pt>
                <c:pt idx="20">
                  <c:v>55.44</c:v>
                </c:pt>
                <c:pt idx="21">
                  <c:v>56.72</c:v>
                </c:pt>
                <c:pt idx="22">
                  <c:v>69.56</c:v>
                </c:pt>
                <c:pt idx="23">
                  <c:v>74.89</c:v>
                </c:pt>
                <c:pt idx="24">
                  <c:v>71.180000000000007</c:v>
                </c:pt>
                <c:pt idx="25">
                  <c:v>63.42</c:v>
                </c:pt>
                <c:pt idx="26">
                  <c:v>79.13</c:v>
                </c:pt>
                <c:pt idx="27">
                  <c:v>89.69</c:v>
                </c:pt>
                <c:pt idx="28">
                  <c:v>85.66</c:v>
                </c:pt>
                <c:pt idx="29">
                  <c:v>79.42</c:v>
                </c:pt>
                <c:pt idx="30">
                  <c:v>78.31</c:v>
                </c:pt>
                <c:pt idx="31">
                  <c:v>66.510000000000005</c:v>
                </c:pt>
                <c:pt idx="32">
                  <c:v>71.599999999999994</c:v>
                </c:pt>
                <c:pt idx="33">
                  <c:v>76.540000000000006</c:v>
                </c:pt>
                <c:pt idx="34">
                  <c:v>87.32</c:v>
                </c:pt>
                <c:pt idx="35">
                  <c:v>86.86</c:v>
                </c:pt>
                <c:pt idx="36">
                  <c:v>86.47</c:v>
                </c:pt>
                <c:pt idx="37">
                  <c:v>83.04</c:v>
                </c:pt>
                <c:pt idx="38">
                  <c:v>75.010000000000005</c:v>
                </c:pt>
                <c:pt idx="39">
                  <c:v>70.400000000000006</c:v>
                </c:pt>
                <c:pt idx="40">
                  <c:v>75.099999999999994</c:v>
                </c:pt>
                <c:pt idx="41">
                  <c:v>66.37</c:v>
                </c:pt>
                <c:pt idx="42">
                  <c:v>64.28</c:v>
                </c:pt>
                <c:pt idx="43">
                  <c:v>69.03</c:v>
                </c:pt>
                <c:pt idx="44">
                  <c:v>78.17</c:v>
                </c:pt>
                <c:pt idx="45">
                  <c:v>79.88</c:v>
                </c:pt>
                <c:pt idx="46">
                  <c:v>72.47</c:v>
                </c:pt>
                <c:pt idx="47">
                  <c:v>57.87</c:v>
                </c:pt>
                <c:pt idx="48">
                  <c:v>62.11</c:v>
                </c:pt>
                <c:pt idx="49">
                  <c:v>58.4</c:v>
                </c:pt>
                <c:pt idx="50">
                  <c:v>66.72</c:v>
                </c:pt>
                <c:pt idx="51">
                  <c:v>68.87</c:v>
                </c:pt>
                <c:pt idx="52">
                  <c:v>80.930000000000007</c:v>
                </c:pt>
                <c:pt idx="53">
                  <c:v>75.39</c:v>
                </c:pt>
                <c:pt idx="54">
                  <c:v>90.5</c:v>
                </c:pt>
                <c:pt idx="55">
                  <c:v>90.97</c:v>
                </c:pt>
                <c:pt idx="56">
                  <c:v>83.57</c:v>
                </c:pt>
                <c:pt idx="57">
                  <c:v>74.209999999999994</c:v>
                </c:pt>
                <c:pt idx="58">
                  <c:v>62.62</c:v>
                </c:pt>
                <c:pt idx="59">
                  <c:v>58.95</c:v>
                </c:pt>
                <c:pt idx="60">
                  <c:v>65.69</c:v>
                </c:pt>
                <c:pt idx="61">
                  <c:v>81.540000000000006</c:v>
                </c:pt>
                <c:pt idx="62">
                  <c:v>79.42</c:v>
                </c:pt>
                <c:pt idx="63">
                  <c:v>79.56</c:v>
                </c:pt>
                <c:pt idx="64">
                  <c:v>82.72</c:v>
                </c:pt>
                <c:pt idx="65">
                  <c:v>86.56</c:v>
                </c:pt>
                <c:pt idx="66">
                  <c:v>82.73</c:v>
                </c:pt>
                <c:pt idx="67">
                  <c:v>73.89</c:v>
                </c:pt>
                <c:pt idx="68">
                  <c:v>74.349999999999994</c:v>
                </c:pt>
                <c:pt idx="69">
                  <c:v>70.599999999999994</c:v>
                </c:pt>
                <c:pt idx="70">
                  <c:v>62.87</c:v>
                </c:pt>
                <c:pt idx="71">
                  <c:v>43.24</c:v>
                </c:pt>
                <c:pt idx="72">
                  <c:v>30.43</c:v>
                </c:pt>
                <c:pt idx="73">
                  <c:v>36.520000000000003</c:v>
                </c:pt>
                <c:pt idx="74">
                  <c:v>34.76</c:v>
                </c:pt>
                <c:pt idx="75">
                  <c:v>40.26</c:v>
                </c:pt>
                <c:pt idx="76">
                  <c:v>47.5</c:v>
                </c:pt>
                <c:pt idx="77">
                  <c:v>51.29</c:v>
                </c:pt>
                <c:pt idx="78">
                  <c:v>43.49</c:v>
                </c:pt>
                <c:pt idx="79">
                  <c:v>29.48</c:v>
                </c:pt>
                <c:pt idx="80">
                  <c:v>26.5</c:v>
                </c:pt>
                <c:pt idx="81">
                  <c:v>32.78</c:v>
                </c:pt>
                <c:pt idx="82">
                  <c:v>27.78</c:v>
                </c:pt>
                <c:pt idx="83">
                  <c:v>22.51</c:v>
                </c:pt>
                <c:pt idx="84">
                  <c:v>17.88</c:v>
                </c:pt>
                <c:pt idx="85">
                  <c:v>16.3</c:v>
                </c:pt>
                <c:pt idx="86">
                  <c:v>23.46</c:v>
                </c:pt>
                <c:pt idx="87">
                  <c:v>27.88</c:v>
                </c:pt>
                <c:pt idx="88">
                  <c:v>32.520000000000003</c:v>
                </c:pt>
                <c:pt idx="89">
                  <c:v>36.47</c:v>
                </c:pt>
                <c:pt idx="90">
                  <c:v>32.799999999999997</c:v>
                </c:pt>
                <c:pt idx="91">
                  <c:v>30.9</c:v>
                </c:pt>
                <c:pt idx="92">
                  <c:v>30.62</c:v>
                </c:pt>
                <c:pt idx="93">
                  <c:v>35.83</c:v>
                </c:pt>
                <c:pt idx="94">
                  <c:v>31.89</c:v>
                </c:pt>
                <c:pt idx="95">
                  <c:v>37.18</c:v>
                </c:pt>
                <c:pt idx="96">
                  <c:v>37.19</c:v>
                </c:pt>
                <c:pt idx="97">
                  <c:v>39.14</c:v>
                </c:pt>
                <c:pt idx="98">
                  <c:v>35.68</c:v>
                </c:pt>
                <c:pt idx="99">
                  <c:v>36.840000000000003</c:v>
                </c:pt>
                <c:pt idx="100">
                  <c:v>38.840000000000003</c:v>
                </c:pt>
                <c:pt idx="101">
                  <c:v>35.799999999999997</c:v>
                </c:pt>
                <c:pt idx="102">
                  <c:v>36.369999999999997</c:v>
                </c:pt>
                <c:pt idx="103">
                  <c:v>38.5</c:v>
                </c:pt>
                <c:pt idx="104">
                  <c:v>39.93</c:v>
                </c:pt>
                <c:pt idx="105">
                  <c:v>39.869999999999997</c:v>
                </c:pt>
                <c:pt idx="106">
                  <c:v>45.52</c:v>
                </c:pt>
                <c:pt idx="107">
                  <c:v>44.02</c:v>
                </c:pt>
                <c:pt idx="108">
                  <c:v>42.53</c:v>
                </c:pt>
                <c:pt idx="109">
                  <c:v>37.72</c:v>
                </c:pt>
                <c:pt idx="110">
                  <c:v>35.53</c:v>
                </c:pt>
                <c:pt idx="111">
                  <c:v>40.47</c:v>
                </c:pt>
                <c:pt idx="112">
                  <c:v>53.25</c:v>
                </c:pt>
                <c:pt idx="113">
                  <c:v>52.1</c:v>
                </c:pt>
                <c:pt idx="114">
                  <c:v>52.83</c:v>
                </c:pt>
                <c:pt idx="115">
                  <c:v>48.55</c:v>
                </c:pt>
              </c:numCache>
            </c:numRef>
          </c:val>
          <c:smooth val="0"/>
          <c:extLst>
            <c:ext xmlns:c16="http://schemas.microsoft.com/office/drawing/2014/chart" uri="{C3380CC4-5D6E-409C-BE32-E72D297353CC}">
              <c16:uniqueId val="{00000001-A0C0-449A-B59D-153BEA9311F5}"/>
            </c:ext>
          </c:extLst>
        </c:ser>
        <c:ser>
          <c:idx val="2"/>
          <c:order val="2"/>
          <c:tx>
            <c:strRef>
              <c:f>'Écarts de prix'!$D$1</c:f>
              <c:strCache>
                <c:ptCount val="1"/>
                <c:pt idx="0">
                  <c:v>Écart du WCS</c:v>
                </c:pt>
              </c:strCache>
            </c:strRef>
          </c:tx>
          <c:spPr>
            <a:ln w="28575" cap="rnd">
              <a:solidFill>
                <a:schemeClr val="accent3"/>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prix'!$D$2:$D$117</c:f>
              <c:numCache>
                <c:formatCode>General</c:formatCode>
                <c:ptCount val="116"/>
                <c:pt idx="0" formatCode="0.00">
                  <c:v>-11.95</c:v>
                </c:pt>
                <c:pt idx="1">
                  <c:v>-7.55</c:v>
                </c:pt>
                <c:pt idx="2">
                  <c:v>-7.3</c:v>
                </c:pt>
                <c:pt idx="3">
                  <c:v>-6.19</c:v>
                </c:pt>
                <c:pt idx="4">
                  <c:v>-7.57</c:v>
                </c:pt>
                <c:pt idx="5">
                  <c:v>-8.52</c:v>
                </c:pt>
                <c:pt idx="6">
                  <c:v>-9.84</c:v>
                </c:pt>
                <c:pt idx="7">
                  <c:v>-10.57</c:v>
                </c:pt>
                <c:pt idx="8">
                  <c:v>-9.9499999999999993</c:v>
                </c:pt>
                <c:pt idx="9">
                  <c:v>-10.53</c:v>
                </c:pt>
                <c:pt idx="10">
                  <c:v>-13.11</c:v>
                </c:pt>
                <c:pt idx="11">
                  <c:v>-12.71</c:v>
                </c:pt>
                <c:pt idx="12">
                  <c:v>-9.1199999999999992</c:v>
                </c:pt>
                <c:pt idx="13">
                  <c:v>-8.5399999999999991</c:v>
                </c:pt>
                <c:pt idx="14">
                  <c:v>-9.4700000000000006</c:v>
                </c:pt>
                <c:pt idx="15">
                  <c:v>-12.56</c:v>
                </c:pt>
                <c:pt idx="16">
                  <c:v>-16.63</c:v>
                </c:pt>
                <c:pt idx="17">
                  <c:v>-13.08</c:v>
                </c:pt>
                <c:pt idx="18">
                  <c:v>-12.1</c:v>
                </c:pt>
                <c:pt idx="19">
                  <c:v>-14.74</c:v>
                </c:pt>
                <c:pt idx="20">
                  <c:v>-20.11</c:v>
                </c:pt>
                <c:pt idx="21">
                  <c:v>-25.23</c:v>
                </c:pt>
                <c:pt idx="22">
                  <c:v>-14.76</c:v>
                </c:pt>
                <c:pt idx="23">
                  <c:v>-14.34</c:v>
                </c:pt>
                <c:pt idx="24">
                  <c:v>-18.399999999999999</c:v>
                </c:pt>
                <c:pt idx="25">
                  <c:v>-26.32</c:v>
                </c:pt>
                <c:pt idx="26">
                  <c:v>-23.85</c:v>
                </c:pt>
                <c:pt idx="27">
                  <c:v>-20.350000000000001</c:v>
                </c:pt>
                <c:pt idx="28">
                  <c:v>-15.7</c:v>
                </c:pt>
                <c:pt idx="29">
                  <c:v>-16.87</c:v>
                </c:pt>
                <c:pt idx="30">
                  <c:v>-19.03</c:v>
                </c:pt>
                <c:pt idx="31">
                  <c:v>-19.829999999999998</c:v>
                </c:pt>
                <c:pt idx="32">
                  <c:v>-14.01</c:v>
                </c:pt>
                <c:pt idx="33">
                  <c:v>-9.89</c:v>
                </c:pt>
                <c:pt idx="34">
                  <c:v>-9.84</c:v>
                </c:pt>
                <c:pt idx="35">
                  <c:v>-11.72</c:v>
                </c:pt>
                <c:pt idx="36">
                  <c:v>-13.85</c:v>
                </c:pt>
                <c:pt idx="37">
                  <c:v>-19.22</c:v>
                </c:pt>
                <c:pt idx="38">
                  <c:v>-31.2</c:v>
                </c:pt>
                <c:pt idx="39">
                  <c:v>-32.950000000000003</c:v>
                </c:pt>
                <c:pt idx="40">
                  <c:v>-19.62</c:v>
                </c:pt>
                <c:pt idx="41">
                  <c:v>-16.04</c:v>
                </c:pt>
                <c:pt idx="42">
                  <c:v>-23.65</c:v>
                </c:pt>
                <c:pt idx="43">
                  <c:v>-25.13</c:v>
                </c:pt>
                <c:pt idx="44">
                  <c:v>-16.39</c:v>
                </c:pt>
                <c:pt idx="45">
                  <c:v>-9.69</c:v>
                </c:pt>
                <c:pt idx="46">
                  <c:v>-14.26</c:v>
                </c:pt>
                <c:pt idx="47">
                  <c:v>-30.38</c:v>
                </c:pt>
                <c:pt idx="48">
                  <c:v>-32.72</c:v>
                </c:pt>
                <c:pt idx="49">
                  <c:v>-36.92</c:v>
                </c:pt>
                <c:pt idx="50">
                  <c:v>-26.24</c:v>
                </c:pt>
                <c:pt idx="51">
                  <c:v>-23.2</c:v>
                </c:pt>
                <c:pt idx="52">
                  <c:v>-13.87</c:v>
                </c:pt>
                <c:pt idx="53">
                  <c:v>-20.41</c:v>
                </c:pt>
                <c:pt idx="54">
                  <c:v>-14.2</c:v>
                </c:pt>
                <c:pt idx="55">
                  <c:v>-15.57</c:v>
                </c:pt>
                <c:pt idx="56">
                  <c:v>-22.67</c:v>
                </c:pt>
                <c:pt idx="57">
                  <c:v>-26.34</c:v>
                </c:pt>
                <c:pt idx="58">
                  <c:v>-31.31</c:v>
                </c:pt>
                <c:pt idx="59">
                  <c:v>-38.94</c:v>
                </c:pt>
                <c:pt idx="60">
                  <c:v>-29.17</c:v>
                </c:pt>
                <c:pt idx="61">
                  <c:v>-19.14</c:v>
                </c:pt>
                <c:pt idx="62">
                  <c:v>-21.09</c:v>
                </c:pt>
                <c:pt idx="63">
                  <c:v>-22.48</c:v>
                </c:pt>
                <c:pt idx="64">
                  <c:v>-19.079999999999998</c:v>
                </c:pt>
                <c:pt idx="65">
                  <c:v>-18.59</c:v>
                </c:pt>
                <c:pt idx="66">
                  <c:v>-19.66</c:v>
                </c:pt>
                <c:pt idx="67">
                  <c:v>-22.19</c:v>
                </c:pt>
                <c:pt idx="68">
                  <c:v>-18.68</c:v>
                </c:pt>
                <c:pt idx="69">
                  <c:v>-13.74</c:v>
                </c:pt>
                <c:pt idx="70">
                  <c:v>-12.94</c:v>
                </c:pt>
                <c:pt idx="71">
                  <c:v>-16.05</c:v>
                </c:pt>
                <c:pt idx="72">
                  <c:v>-16.79</c:v>
                </c:pt>
                <c:pt idx="73">
                  <c:v>-14.06</c:v>
                </c:pt>
                <c:pt idx="74">
                  <c:v>-13.06</c:v>
                </c:pt>
                <c:pt idx="75">
                  <c:v>-14.19</c:v>
                </c:pt>
                <c:pt idx="76">
                  <c:v>-11.77</c:v>
                </c:pt>
                <c:pt idx="77">
                  <c:v>-8.5299999999999994</c:v>
                </c:pt>
                <c:pt idx="78">
                  <c:v>-7.41</c:v>
                </c:pt>
                <c:pt idx="79">
                  <c:v>-13.39</c:v>
                </c:pt>
                <c:pt idx="80">
                  <c:v>-18.98</c:v>
                </c:pt>
                <c:pt idx="81">
                  <c:v>-13.44</c:v>
                </c:pt>
                <c:pt idx="82">
                  <c:v>-14.66</c:v>
                </c:pt>
                <c:pt idx="83">
                  <c:v>-14.68</c:v>
                </c:pt>
                <c:pt idx="84">
                  <c:v>-13.8</c:v>
                </c:pt>
                <c:pt idx="85">
                  <c:v>-14.02</c:v>
                </c:pt>
                <c:pt idx="86">
                  <c:v>-14.09</c:v>
                </c:pt>
                <c:pt idx="87">
                  <c:v>-12.87</c:v>
                </c:pt>
                <c:pt idx="88">
                  <c:v>-14.19</c:v>
                </c:pt>
                <c:pt idx="89">
                  <c:v>-12.29</c:v>
                </c:pt>
                <c:pt idx="90">
                  <c:v>-11.85</c:v>
                </c:pt>
                <c:pt idx="91">
                  <c:v>-13.82</c:v>
                </c:pt>
                <c:pt idx="92">
                  <c:v>-14.56</c:v>
                </c:pt>
                <c:pt idx="93">
                  <c:v>-13.95</c:v>
                </c:pt>
                <c:pt idx="94">
                  <c:v>-13.77</c:v>
                </c:pt>
                <c:pt idx="95">
                  <c:v>-14.79</c:v>
                </c:pt>
                <c:pt idx="96">
                  <c:v>-15.31</c:v>
                </c:pt>
                <c:pt idx="97">
                  <c:v>-14.33</c:v>
                </c:pt>
                <c:pt idx="98">
                  <c:v>-13.65</c:v>
                </c:pt>
                <c:pt idx="99">
                  <c:v>-14.22</c:v>
                </c:pt>
                <c:pt idx="100">
                  <c:v>-9.64</c:v>
                </c:pt>
                <c:pt idx="101">
                  <c:v>-9.3800000000000008</c:v>
                </c:pt>
                <c:pt idx="102">
                  <c:v>-10.26</c:v>
                </c:pt>
                <c:pt idx="103">
                  <c:v>-9.5399999999999991</c:v>
                </c:pt>
                <c:pt idx="104">
                  <c:v>-9.89</c:v>
                </c:pt>
                <c:pt idx="105">
                  <c:v>-11.71</c:v>
                </c:pt>
                <c:pt idx="106">
                  <c:v>-11.12</c:v>
                </c:pt>
                <c:pt idx="107">
                  <c:v>-13.86</c:v>
                </c:pt>
                <c:pt idx="108">
                  <c:v>-21.17</c:v>
                </c:pt>
                <c:pt idx="109">
                  <c:v>-24.51</c:v>
                </c:pt>
                <c:pt idx="110">
                  <c:v>-27.2</c:v>
                </c:pt>
                <c:pt idx="111">
                  <c:v>-25.78</c:v>
                </c:pt>
                <c:pt idx="112">
                  <c:v>-16.73</c:v>
                </c:pt>
                <c:pt idx="113">
                  <c:v>-15.77</c:v>
                </c:pt>
                <c:pt idx="114">
                  <c:v>-18.149999999999999</c:v>
                </c:pt>
                <c:pt idx="115">
                  <c:v>-19.510000000000002</c:v>
                </c:pt>
              </c:numCache>
            </c:numRef>
          </c:val>
          <c:smooth val="0"/>
          <c:extLst>
            <c:ext xmlns:c16="http://schemas.microsoft.com/office/drawing/2014/chart" uri="{C3380CC4-5D6E-409C-BE32-E72D297353CC}">
              <c16:uniqueId val="{00000002-A0C0-449A-B59D-153BEA9311F5}"/>
            </c:ext>
          </c:extLst>
        </c:ser>
        <c:ser>
          <c:idx val="3"/>
          <c:order val="3"/>
          <c:tx>
            <c:strRef>
              <c:f>'Écarts de prix'!$G$1</c:f>
              <c:strCache>
                <c:ptCount val="1"/>
                <c:pt idx="0">
                  <c:v>lls</c:v>
                </c:pt>
              </c:strCache>
            </c:strRef>
          </c:tx>
          <c:spPr>
            <a:ln w="28575" cap="rnd">
              <a:solidFill>
                <a:schemeClr val="accent4"/>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prix'!$G$2:$G$117</c:f>
              <c:numCache>
                <c:formatCode>General</c:formatCode>
                <c:ptCount val="116"/>
                <c:pt idx="0">
                  <c:v>39.549999999999997</c:v>
                </c:pt>
                <c:pt idx="1">
                  <c:v>38.07</c:v>
                </c:pt>
                <c:pt idx="2">
                  <c:v>47.78</c:v>
                </c:pt>
                <c:pt idx="3">
                  <c:v>48.78</c:v>
                </c:pt>
                <c:pt idx="4">
                  <c:v>56.52</c:v>
                </c:pt>
                <c:pt idx="5">
                  <c:v>66.64</c:v>
                </c:pt>
                <c:pt idx="6">
                  <c:v>63.4</c:v>
                </c:pt>
                <c:pt idx="7">
                  <c:v>69.59</c:v>
                </c:pt>
                <c:pt idx="8">
                  <c:v>69.55</c:v>
                </c:pt>
                <c:pt idx="9">
                  <c:v>73.8</c:v>
                </c:pt>
                <c:pt idx="10">
                  <c:v>75.92</c:v>
                </c:pt>
                <c:pt idx="11">
                  <c:v>73.849999999999994</c:v>
                </c:pt>
                <c:pt idx="12">
                  <c:v>77.34</c:v>
                </c:pt>
                <c:pt idx="13">
                  <c:v>76.09</c:v>
                </c:pt>
                <c:pt idx="14">
                  <c:v>79.39</c:v>
                </c:pt>
                <c:pt idx="15">
                  <c:v>82.65</c:v>
                </c:pt>
                <c:pt idx="16">
                  <c:v>75.13</c:v>
                </c:pt>
                <c:pt idx="17">
                  <c:v>76.319999999999993</c:v>
                </c:pt>
                <c:pt idx="18">
                  <c:v>76.569999999999993</c:v>
                </c:pt>
                <c:pt idx="19">
                  <c:v>76.92</c:v>
                </c:pt>
                <c:pt idx="20">
                  <c:v>76.06</c:v>
                </c:pt>
                <c:pt idx="21">
                  <c:v>82.14</c:v>
                </c:pt>
                <c:pt idx="22">
                  <c:v>84.01</c:v>
                </c:pt>
                <c:pt idx="23">
                  <c:v>89.31</c:v>
                </c:pt>
                <c:pt idx="24">
                  <c:v>91.25</c:v>
                </c:pt>
                <c:pt idx="25">
                  <c:v>93</c:v>
                </c:pt>
                <c:pt idx="26">
                  <c:v>111.27</c:v>
                </c:pt>
                <c:pt idx="27">
                  <c:v>119.68</c:v>
                </c:pt>
                <c:pt idx="28">
                  <c:v>115.11</c:v>
                </c:pt>
                <c:pt idx="29">
                  <c:v>109.07</c:v>
                </c:pt>
                <c:pt idx="30">
                  <c:v>111.02</c:v>
                </c:pt>
                <c:pt idx="31">
                  <c:v>100.91</c:v>
                </c:pt>
                <c:pt idx="32">
                  <c:v>101.62</c:v>
                </c:pt>
                <c:pt idx="33">
                  <c:v>110.72</c:v>
                </c:pt>
                <c:pt idx="34">
                  <c:v>119.27</c:v>
                </c:pt>
                <c:pt idx="35">
                  <c:v>113.44</c:v>
                </c:pt>
                <c:pt idx="36">
                  <c:v>108.1</c:v>
                </c:pt>
                <c:pt idx="37">
                  <c:v>110.65</c:v>
                </c:pt>
                <c:pt idx="38">
                  <c:v>119.61</c:v>
                </c:pt>
                <c:pt idx="39">
                  <c:v>120.56</c:v>
                </c:pt>
                <c:pt idx="40">
                  <c:v>112.02</c:v>
                </c:pt>
                <c:pt idx="41">
                  <c:v>95.29</c:v>
                </c:pt>
                <c:pt idx="42">
                  <c:v>95.46</c:v>
                </c:pt>
                <c:pt idx="43">
                  <c:v>99.53</c:v>
                </c:pt>
                <c:pt idx="44">
                  <c:v>109.45</c:v>
                </c:pt>
                <c:pt idx="45">
                  <c:v>104.9</c:v>
                </c:pt>
                <c:pt idx="46">
                  <c:v>104.2</c:v>
                </c:pt>
                <c:pt idx="47">
                  <c:v>106.5</c:v>
                </c:pt>
                <c:pt idx="48">
                  <c:v>112.63</c:v>
                </c:pt>
                <c:pt idx="49">
                  <c:v>109.97</c:v>
                </c:pt>
                <c:pt idx="50">
                  <c:v>110.22</c:v>
                </c:pt>
                <c:pt idx="51">
                  <c:v>109.53</c:v>
                </c:pt>
                <c:pt idx="52">
                  <c:v>105.98</c:v>
                </c:pt>
                <c:pt idx="53">
                  <c:v>102.86</c:v>
                </c:pt>
                <c:pt idx="54">
                  <c:v>110.44</c:v>
                </c:pt>
                <c:pt idx="55">
                  <c:v>110.74</c:v>
                </c:pt>
                <c:pt idx="56">
                  <c:v>109.81</c:v>
                </c:pt>
                <c:pt idx="57">
                  <c:v>100.97</c:v>
                </c:pt>
                <c:pt idx="58">
                  <c:v>94.14</c:v>
                </c:pt>
                <c:pt idx="59">
                  <c:v>97.01</c:v>
                </c:pt>
                <c:pt idx="60">
                  <c:v>89.39</c:v>
                </c:pt>
                <c:pt idx="61">
                  <c:v>104.77</c:v>
                </c:pt>
                <c:pt idx="62">
                  <c:v>103.07</c:v>
                </c:pt>
                <c:pt idx="63">
                  <c:v>103.26</c:v>
                </c:pt>
                <c:pt idx="64">
                  <c:v>102</c:v>
                </c:pt>
                <c:pt idx="65">
                  <c:v>104.88</c:v>
                </c:pt>
                <c:pt idx="66">
                  <c:v>103.08</c:v>
                </c:pt>
                <c:pt idx="67">
                  <c:v>98.31</c:v>
                </c:pt>
                <c:pt idx="68">
                  <c:v>95.53</c:v>
                </c:pt>
                <c:pt idx="69">
                  <c:v>86.41</c:v>
                </c:pt>
                <c:pt idx="70">
                  <c:v>78.17</c:v>
                </c:pt>
                <c:pt idx="71">
                  <c:v>62.03</c:v>
                </c:pt>
                <c:pt idx="72">
                  <c:v>48.48</c:v>
                </c:pt>
                <c:pt idx="73">
                  <c:v>48.64</c:v>
                </c:pt>
                <c:pt idx="74">
                  <c:v>47.53</c:v>
                </c:pt>
                <c:pt idx="75">
                  <c:v>54.87</c:v>
                </c:pt>
                <c:pt idx="76">
                  <c:v>59.84</c:v>
                </c:pt>
                <c:pt idx="77">
                  <c:v>61.14</c:v>
                </c:pt>
                <c:pt idx="78">
                  <c:v>52.31</c:v>
                </c:pt>
                <c:pt idx="79">
                  <c:v>44.3</c:v>
                </c:pt>
                <c:pt idx="80">
                  <c:v>45.02</c:v>
                </c:pt>
                <c:pt idx="81">
                  <c:v>42.33</c:v>
                </c:pt>
                <c:pt idx="82">
                  <c:v>40.479999999999997</c:v>
                </c:pt>
                <c:pt idx="83">
                  <c:v>34.92</c:v>
                </c:pt>
                <c:pt idx="84">
                  <c:v>29.26</c:v>
                </c:pt>
                <c:pt idx="85">
                  <c:v>27.36</c:v>
                </c:pt>
                <c:pt idx="86">
                  <c:v>34.04</c:v>
                </c:pt>
                <c:pt idx="87">
                  <c:v>37.78</c:v>
                </c:pt>
                <c:pt idx="88">
                  <c:v>43.19</c:v>
                </c:pt>
                <c:pt idx="89">
                  <c:v>46.25</c:v>
                </c:pt>
                <c:pt idx="90">
                  <c:v>42.93</c:v>
                </c:pt>
                <c:pt idx="91">
                  <c:v>42.23</c:v>
                </c:pt>
                <c:pt idx="92">
                  <c:v>42.14</c:v>
                </c:pt>
                <c:pt idx="93">
                  <c:v>46.92</c:v>
                </c:pt>
                <c:pt idx="94">
                  <c:v>43.22</c:v>
                </c:pt>
                <c:pt idx="95">
                  <c:v>48.7</c:v>
                </c:pt>
                <c:pt idx="96">
                  <c:v>49.41</c:v>
                </c:pt>
                <c:pt idx="97">
                  <c:v>50.41</c:v>
                </c:pt>
                <c:pt idx="98">
                  <c:v>47.06</c:v>
                </c:pt>
                <c:pt idx="99">
                  <c:v>48.5</c:v>
                </c:pt>
                <c:pt idx="100">
                  <c:v>46.43</c:v>
                </c:pt>
                <c:pt idx="101">
                  <c:v>43.26</c:v>
                </c:pt>
                <c:pt idx="102">
                  <c:v>44.62</c:v>
                </c:pt>
                <c:pt idx="103">
                  <c:v>46.41</c:v>
                </c:pt>
                <c:pt idx="104">
                  <c:v>48.41</c:v>
                </c:pt>
                <c:pt idx="105">
                  <c:v>51.67</c:v>
                </c:pt>
                <c:pt idx="106">
                  <c:v>58.13</c:v>
                </c:pt>
                <c:pt idx="107">
                  <c:v>59.89</c:v>
                </c:pt>
                <c:pt idx="108">
                  <c:v>64.790000000000006</c:v>
                </c:pt>
                <c:pt idx="109">
                  <c:v>62.96</c:v>
                </c:pt>
                <c:pt idx="110">
                  <c:v>61.42</c:v>
                </c:pt>
                <c:pt idx="111">
                  <c:v>64.53</c:v>
                </c:pt>
                <c:pt idx="112">
                  <c:v>68.53</c:v>
                </c:pt>
                <c:pt idx="113">
                  <c:v>67.739999999999995</c:v>
                </c:pt>
                <c:pt idx="114">
                  <c:v>74.25</c:v>
                </c:pt>
                <c:pt idx="115">
                  <c:v>67.540000000000006</c:v>
                </c:pt>
              </c:numCache>
            </c:numRef>
          </c:val>
          <c:smooth val="0"/>
          <c:extLst>
            <c:ext xmlns:c16="http://schemas.microsoft.com/office/drawing/2014/chart" uri="{C3380CC4-5D6E-409C-BE32-E72D297353CC}">
              <c16:uniqueId val="{00000003-A0C0-449A-B59D-153BEA9311F5}"/>
            </c:ext>
          </c:extLst>
        </c:ser>
        <c:ser>
          <c:idx val="4"/>
          <c:order val="4"/>
          <c:tx>
            <c:strRef>
              <c:f>'Écarts de prix'!$H$1</c:f>
              <c:strCache>
                <c:ptCount val="1"/>
                <c:pt idx="0">
                  <c:v>maya</c:v>
                </c:pt>
              </c:strCache>
            </c:strRef>
          </c:tx>
          <c:spPr>
            <a:ln w="28575" cap="rnd">
              <a:solidFill>
                <a:schemeClr val="accent5"/>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prix'!$H$2:$H$117</c:f>
              <c:numCache>
                <c:formatCode>General</c:formatCode>
                <c:ptCount val="116"/>
                <c:pt idx="0">
                  <c:v>36.61</c:v>
                </c:pt>
                <c:pt idx="1">
                  <c:v>37.119999999999997</c:v>
                </c:pt>
                <c:pt idx="2">
                  <c:v>40.36</c:v>
                </c:pt>
                <c:pt idx="3">
                  <c:v>46.17</c:v>
                </c:pt>
                <c:pt idx="4">
                  <c:v>54.99</c:v>
                </c:pt>
                <c:pt idx="5">
                  <c:v>62.89</c:v>
                </c:pt>
                <c:pt idx="6">
                  <c:v>59.36</c:v>
                </c:pt>
                <c:pt idx="7">
                  <c:v>66.27</c:v>
                </c:pt>
                <c:pt idx="8">
                  <c:v>63.67</c:v>
                </c:pt>
                <c:pt idx="9">
                  <c:v>67.650000000000006</c:v>
                </c:pt>
                <c:pt idx="10">
                  <c:v>71.58</c:v>
                </c:pt>
                <c:pt idx="11">
                  <c:v>68.510000000000005</c:v>
                </c:pt>
                <c:pt idx="12">
                  <c:v>71.37</c:v>
                </c:pt>
                <c:pt idx="13">
                  <c:v>68.05</c:v>
                </c:pt>
                <c:pt idx="14">
                  <c:v>70.349999999999994</c:v>
                </c:pt>
                <c:pt idx="15">
                  <c:v>73.13</c:v>
                </c:pt>
                <c:pt idx="16">
                  <c:v>66.27</c:v>
                </c:pt>
                <c:pt idx="17">
                  <c:v>65.37</c:v>
                </c:pt>
                <c:pt idx="18">
                  <c:v>66.7</c:v>
                </c:pt>
                <c:pt idx="19">
                  <c:v>67.89</c:v>
                </c:pt>
                <c:pt idx="20">
                  <c:v>67.53</c:v>
                </c:pt>
                <c:pt idx="21">
                  <c:v>72.430000000000007</c:v>
                </c:pt>
                <c:pt idx="22">
                  <c:v>74.89</c:v>
                </c:pt>
                <c:pt idx="23">
                  <c:v>79.209999999999994</c:v>
                </c:pt>
                <c:pt idx="24">
                  <c:v>81.66</c:v>
                </c:pt>
                <c:pt idx="25">
                  <c:v>86.56</c:v>
                </c:pt>
                <c:pt idx="26">
                  <c:v>98.77</c:v>
                </c:pt>
                <c:pt idx="27">
                  <c:v>106.55</c:v>
                </c:pt>
                <c:pt idx="28">
                  <c:v>101.56</c:v>
                </c:pt>
                <c:pt idx="29">
                  <c:v>101.11</c:v>
                </c:pt>
                <c:pt idx="30">
                  <c:v>102.47</c:v>
                </c:pt>
                <c:pt idx="31">
                  <c:v>95.89</c:v>
                </c:pt>
                <c:pt idx="32">
                  <c:v>97.25</c:v>
                </c:pt>
                <c:pt idx="33">
                  <c:v>99.59</c:v>
                </c:pt>
                <c:pt idx="34">
                  <c:v>105.99</c:v>
                </c:pt>
                <c:pt idx="35">
                  <c:v>104.34</c:v>
                </c:pt>
                <c:pt idx="36">
                  <c:v>105.91</c:v>
                </c:pt>
                <c:pt idx="37">
                  <c:v>108.59</c:v>
                </c:pt>
                <c:pt idx="38">
                  <c:v>111.9</c:v>
                </c:pt>
                <c:pt idx="39">
                  <c:v>108.63</c:v>
                </c:pt>
                <c:pt idx="40">
                  <c:v>101.32</c:v>
                </c:pt>
                <c:pt idx="41">
                  <c:v>88.42</c:v>
                </c:pt>
                <c:pt idx="42">
                  <c:v>92.95</c:v>
                </c:pt>
                <c:pt idx="43">
                  <c:v>99</c:v>
                </c:pt>
                <c:pt idx="44">
                  <c:v>100.83</c:v>
                </c:pt>
                <c:pt idx="45">
                  <c:v>96.83</c:v>
                </c:pt>
                <c:pt idx="46">
                  <c:v>91.1</c:v>
                </c:pt>
                <c:pt idx="47">
                  <c:v>91.42</c:v>
                </c:pt>
                <c:pt idx="48">
                  <c:v>97.42</c:v>
                </c:pt>
                <c:pt idx="49">
                  <c:v>106.36</c:v>
                </c:pt>
                <c:pt idx="50">
                  <c:v>103.49</c:v>
                </c:pt>
                <c:pt idx="51">
                  <c:v>98.78</c:v>
                </c:pt>
                <c:pt idx="52">
                  <c:v>98.24</c:v>
                </c:pt>
                <c:pt idx="53">
                  <c:v>96.26</c:v>
                </c:pt>
                <c:pt idx="54">
                  <c:v>99.63</c:v>
                </c:pt>
                <c:pt idx="55">
                  <c:v>99.74</c:v>
                </c:pt>
                <c:pt idx="56">
                  <c:v>98.96</c:v>
                </c:pt>
                <c:pt idx="57">
                  <c:v>92.67</c:v>
                </c:pt>
                <c:pt idx="58">
                  <c:v>87.02</c:v>
                </c:pt>
                <c:pt idx="59">
                  <c:v>88.47</c:v>
                </c:pt>
                <c:pt idx="60">
                  <c:v>87.17</c:v>
                </c:pt>
                <c:pt idx="61">
                  <c:v>90.01</c:v>
                </c:pt>
                <c:pt idx="62">
                  <c:v>90.13</c:v>
                </c:pt>
                <c:pt idx="63">
                  <c:v>93.03</c:v>
                </c:pt>
                <c:pt idx="64">
                  <c:v>94.89</c:v>
                </c:pt>
                <c:pt idx="65">
                  <c:v>97.86</c:v>
                </c:pt>
                <c:pt idx="66">
                  <c:v>94.33</c:v>
                </c:pt>
                <c:pt idx="67">
                  <c:v>91.1</c:v>
                </c:pt>
                <c:pt idx="68">
                  <c:v>88.13</c:v>
                </c:pt>
                <c:pt idx="69">
                  <c:v>78.849999999999994</c:v>
                </c:pt>
                <c:pt idx="70">
                  <c:v>71.430000000000007</c:v>
                </c:pt>
                <c:pt idx="71">
                  <c:v>52.52</c:v>
                </c:pt>
                <c:pt idx="72">
                  <c:v>40.11</c:v>
                </c:pt>
                <c:pt idx="73">
                  <c:v>47.31</c:v>
                </c:pt>
                <c:pt idx="74">
                  <c:v>45.67</c:v>
                </c:pt>
                <c:pt idx="75">
                  <c:v>49.53</c:v>
                </c:pt>
                <c:pt idx="76">
                  <c:v>55.16</c:v>
                </c:pt>
                <c:pt idx="77">
                  <c:v>56.63</c:v>
                </c:pt>
                <c:pt idx="78">
                  <c:v>50.53</c:v>
                </c:pt>
                <c:pt idx="79">
                  <c:v>40.549999999999997</c:v>
                </c:pt>
                <c:pt idx="80">
                  <c:v>39.5</c:v>
                </c:pt>
                <c:pt idx="81">
                  <c:v>39.14</c:v>
                </c:pt>
                <c:pt idx="82">
                  <c:v>35.36</c:v>
                </c:pt>
                <c:pt idx="83">
                  <c:v>28.74</c:v>
                </c:pt>
                <c:pt idx="84">
                  <c:v>24.21</c:v>
                </c:pt>
                <c:pt idx="85">
                  <c:v>24.84</c:v>
                </c:pt>
                <c:pt idx="86">
                  <c:v>29.22</c:v>
                </c:pt>
                <c:pt idx="87">
                  <c:v>30.95</c:v>
                </c:pt>
                <c:pt idx="88">
                  <c:v>39.08</c:v>
                </c:pt>
                <c:pt idx="89">
                  <c:v>42.43</c:v>
                </c:pt>
                <c:pt idx="90">
                  <c:v>40.25</c:v>
                </c:pt>
                <c:pt idx="91">
                  <c:v>38.76</c:v>
                </c:pt>
                <c:pt idx="92">
                  <c:v>38.61</c:v>
                </c:pt>
                <c:pt idx="93">
                  <c:v>43.2</c:v>
                </c:pt>
                <c:pt idx="94">
                  <c:v>39.729999999999997</c:v>
                </c:pt>
                <c:pt idx="95">
                  <c:v>45.55</c:v>
                </c:pt>
                <c:pt idx="96">
                  <c:v>45.74</c:v>
                </c:pt>
                <c:pt idx="97">
                  <c:v>45.88</c:v>
                </c:pt>
                <c:pt idx="98">
                  <c:v>42.3</c:v>
                </c:pt>
                <c:pt idx="99">
                  <c:v>44.54</c:v>
                </c:pt>
                <c:pt idx="100">
                  <c:v>44.98</c:v>
                </c:pt>
                <c:pt idx="101">
                  <c:v>42.07</c:v>
                </c:pt>
                <c:pt idx="102">
                  <c:v>44.33</c:v>
                </c:pt>
                <c:pt idx="103">
                  <c:v>46.4</c:v>
                </c:pt>
                <c:pt idx="104">
                  <c:v>48.11</c:v>
                </c:pt>
                <c:pt idx="105">
                  <c:v>49.01</c:v>
                </c:pt>
                <c:pt idx="106">
                  <c:v>54.73</c:v>
                </c:pt>
                <c:pt idx="107">
                  <c:v>55.32</c:v>
                </c:pt>
                <c:pt idx="108">
                  <c:v>59.05</c:v>
                </c:pt>
                <c:pt idx="109">
                  <c:v>56.82</c:v>
                </c:pt>
                <c:pt idx="110">
                  <c:v>56.98</c:v>
                </c:pt>
                <c:pt idx="111">
                  <c:v>57.87</c:v>
                </c:pt>
                <c:pt idx="112">
                  <c:v>63.55</c:v>
                </c:pt>
                <c:pt idx="113">
                  <c:v>64.61</c:v>
                </c:pt>
                <c:pt idx="114">
                  <c:v>66.349999999999994</c:v>
                </c:pt>
                <c:pt idx="115">
                  <c:v>63.27</c:v>
                </c:pt>
              </c:numCache>
            </c:numRef>
          </c:val>
          <c:smooth val="0"/>
          <c:extLst>
            <c:ext xmlns:c16="http://schemas.microsoft.com/office/drawing/2014/chart" uri="{C3380CC4-5D6E-409C-BE32-E72D297353CC}">
              <c16:uniqueId val="{00000004-A0C0-449A-B59D-153BEA9311F5}"/>
            </c:ext>
          </c:extLst>
        </c:ser>
        <c:ser>
          <c:idx val="5"/>
          <c:order val="5"/>
          <c:tx>
            <c:strRef>
              <c:f>'Écarts de prix'!$I$1</c:f>
              <c:strCache>
                <c:ptCount val="1"/>
                <c:pt idx="0">
                  <c:v>Écart du Maya</c:v>
                </c:pt>
              </c:strCache>
            </c:strRef>
          </c:tx>
          <c:spPr>
            <a:ln w="28575" cap="rnd">
              <a:solidFill>
                <a:schemeClr val="accent6"/>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prix'!$I$2:$I$117</c:f>
              <c:numCache>
                <c:formatCode>General</c:formatCode>
                <c:ptCount val="116"/>
                <c:pt idx="0">
                  <c:v>-2.9399999999999977</c:v>
                </c:pt>
                <c:pt idx="1">
                  <c:v>-0.95000000000000284</c:v>
                </c:pt>
                <c:pt idx="2">
                  <c:v>-7.4200000000000017</c:v>
                </c:pt>
                <c:pt idx="3">
                  <c:v>-2.6099999999999994</c:v>
                </c:pt>
                <c:pt idx="4">
                  <c:v>-1.5300000000000011</c:v>
                </c:pt>
                <c:pt idx="5">
                  <c:v>-3.75</c:v>
                </c:pt>
                <c:pt idx="6">
                  <c:v>-4.0399999999999991</c:v>
                </c:pt>
                <c:pt idx="7">
                  <c:v>-3.3200000000000074</c:v>
                </c:pt>
                <c:pt idx="8">
                  <c:v>-5.8799999999999955</c:v>
                </c:pt>
                <c:pt idx="9">
                  <c:v>-6.1499999999999915</c:v>
                </c:pt>
                <c:pt idx="10">
                  <c:v>-4.3400000000000034</c:v>
                </c:pt>
                <c:pt idx="11">
                  <c:v>-5.3399999999999892</c:v>
                </c:pt>
                <c:pt idx="12">
                  <c:v>-5.9699999999999989</c:v>
                </c:pt>
                <c:pt idx="13">
                  <c:v>-8.0400000000000063</c:v>
                </c:pt>
                <c:pt idx="14">
                  <c:v>-9.0400000000000063</c:v>
                </c:pt>
                <c:pt idx="15">
                  <c:v>-9.5200000000000102</c:v>
                </c:pt>
                <c:pt idx="16">
                  <c:v>-8.86</c:v>
                </c:pt>
                <c:pt idx="17">
                  <c:v>-10.949999999999989</c:v>
                </c:pt>
                <c:pt idx="18">
                  <c:v>-9.8699999999999903</c:v>
                </c:pt>
                <c:pt idx="19">
                  <c:v>-9.0300000000000011</c:v>
                </c:pt>
                <c:pt idx="20">
                  <c:v>-8.5300000000000011</c:v>
                </c:pt>
                <c:pt idx="21">
                  <c:v>-9.7099999999999937</c:v>
                </c:pt>
                <c:pt idx="22">
                  <c:v>-9.1200000000000045</c:v>
                </c:pt>
                <c:pt idx="23">
                  <c:v>-10.100000000000009</c:v>
                </c:pt>
                <c:pt idx="24">
                  <c:v>-9.5900000000000034</c:v>
                </c:pt>
                <c:pt idx="25">
                  <c:v>-6.4399999999999977</c:v>
                </c:pt>
                <c:pt idx="26">
                  <c:v>-12.5</c:v>
                </c:pt>
                <c:pt idx="27">
                  <c:v>-13.13000000000001</c:v>
                </c:pt>
                <c:pt idx="28">
                  <c:v>-13.549999999999997</c:v>
                </c:pt>
                <c:pt idx="29">
                  <c:v>-7.9599999999999937</c:v>
                </c:pt>
                <c:pt idx="30">
                  <c:v>-8.5499999999999972</c:v>
                </c:pt>
                <c:pt idx="31">
                  <c:v>-5.019999999999996</c:v>
                </c:pt>
                <c:pt idx="32">
                  <c:v>-4.3700000000000045</c:v>
                </c:pt>
                <c:pt idx="33">
                  <c:v>-11.129999999999995</c:v>
                </c:pt>
                <c:pt idx="34">
                  <c:v>-13.280000000000001</c:v>
                </c:pt>
                <c:pt idx="35">
                  <c:v>-9.0999999999999943</c:v>
                </c:pt>
                <c:pt idx="36">
                  <c:v>-2.1899999999999977</c:v>
                </c:pt>
                <c:pt idx="37">
                  <c:v>-2.0600000000000023</c:v>
                </c:pt>
                <c:pt idx="38">
                  <c:v>-7.7099999999999937</c:v>
                </c:pt>
                <c:pt idx="39">
                  <c:v>-11.930000000000007</c:v>
                </c:pt>
                <c:pt idx="40">
                  <c:v>-10.700000000000003</c:v>
                </c:pt>
                <c:pt idx="41">
                  <c:v>-6.8700000000000045</c:v>
                </c:pt>
                <c:pt idx="42">
                  <c:v>-2.5099999999999909</c:v>
                </c:pt>
                <c:pt idx="43">
                  <c:v>-0.53000000000000114</c:v>
                </c:pt>
                <c:pt idx="44">
                  <c:v>-8.6200000000000045</c:v>
                </c:pt>
                <c:pt idx="45">
                  <c:v>-8.0700000000000074</c:v>
                </c:pt>
                <c:pt idx="46">
                  <c:v>-13.100000000000009</c:v>
                </c:pt>
                <c:pt idx="47">
                  <c:v>-15.079999999999998</c:v>
                </c:pt>
                <c:pt idx="48">
                  <c:v>-15.209999999999994</c:v>
                </c:pt>
                <c:pt idx="49">
                  <c:v>-3.6099999999999994</c:v>
                </c:pt>
                <c:pt idx="50">
                  <c:v>-6.730000000000004</c:v>
                </c:pt>
                <c:pt idx="51">
                  <c:v>-10.75</c:v>
                </c:pt>
                <c:pt idx="52">
                  <c:v>-7.7400000000000091</c:v>
                </c:pt>
                <c:pt idx="53">
                  <c:v>-6.5999999999999943</c:v>
                </c:pt>
                <c:pt idx="54">
                  <c:v>-10.810000000000002</c:v>
                </c:pt>
                <c:pt idx="55">
                  <c:v>-11</c:v>
                </c:pt>
                <c:pt idx="56">
                  <c:v>-10.850000000000009</c:v>
                </c:pt>
                <c:pt idx="57">
                  <c:v>-8.2999999999999972</c:v>
                </c:pt>
                <c:pt idx="58">
                  <c:v>-7.1200000000000045</c:v>
                </c:pt>
                <c:pt idx="59">
                  <c:v>-8.5400000000000063</c:v>
                </c:pt>
                <c:pt idx="60">
                  <c:v>-2.2199999999999989</c:v>
                </c:pt>
                <c:pt idx="61">
                  <c:v>-14.759999999999991</c:v>
                </c:pt>
                <c:pt idx="62">
                  <c:v>-12.939999999999998</c:v>
                </c:pt>
                <c:pt idx="63">
                  <c:v>-10.230000000000004</c:v>
                </c:pt>
                <c:pt idx="64">
                  <c:v>-7.1099999999999994</c:v>
                </c:pt>
                <c:pt idx="65">
                  <c:v>-7.019999999999996</c:v>
                </c:pt>
                <c:pt idx="66">
                  <c:v>-8.75</c:v>
                </c:pt>
                <c:pt idx="67">
                  <c:v>-7.210000000000008</c:v>
                </c:pt>
                <c:pt idx="68">
                  <c:v>-7.4000000000000057</c:v>
                </c:pt>
                <c:pt idx="69">
                  <c:v>-7.5600000000000023</c:v>
                </c:pt>
                <c:pt idx="70">
                  <c:v>-6.7399999999999949</c:v>
                </c:pt>
                <c:pt idx="71">
                  <c:v>-9.509999999999998</c:v>
                </c:pt>
                <c:pt idx="72">
                  <c:v>-8.3699999999999974</c:v>
                </c:pt>
                <c:pt idx="73">
                  <c:v>-1.3299999999999983</c:v>
                </c:pt>
                <c:pt idx="74">
                  <c:v>-1.8599999999999994</c:v>
                </c:pt>
                <c:pt idx="75">
                  <c:v>-5.3399999999999963</c:v>
                </c:pt>
                <c:pt idx="76">
                  <c:v>-4.6800000000000068</c:v>
                </c:pt>
                <c:pt idx="77">
                  <c:v>-4.509999999999998</c:v>
                </c:pt>
                <c:pt idx="78">
                  <c:v>-1.7800000000000011</c:v>
                </c:pt>
                <c:pt idx="79">
                  <c:v>-3.75</c:v>
                </c:pt>
                <c:pt idx="80">
                  <c:v>-5.5200000000000031</c:v>
                </c:pt>
                <c:pt idx="81">
                  <c:v>-3.1899999999999977</c:v>
                </c:pt>
                <c:pt idx="82">
                  <c:v>-5.1199999999999974</c:v>
                </c:pt>
                <c:pt idx="83">
                  <c:v>-6.1800000000000033</c:v>
                </c:pt>
                <c:pt idx="84">
                  <c:v>-5.0500000000000007</c:v>
                </c:pt>
                <c:pt idx="85">
                  <c:v>-2.5199999999999996</c:v>
                </c:pt>
                <c:pt idx="86">
                  <c:v>-4.82</c:v>
                </c:pt>
                <c:pt idx="87">
                  <c:v>-6.8300000000000018</c:v>
                </c:pt>
                <c:pt idx="88">
                  <c:v>-4.1099999999999994</c:v>
                </c:pt>
                <c:pt idx="89">
                  <c:v>-3.8200000000000003</c:v>
                </c:pt>
                <c:pt idx="90">
                  <c:v>-2.6799999999999997</c:v>
                </c:pt>
                <c:pt idx="91">
                  <c:v>-3.4699999999999989</c:v>
                </c:pt>
                <c:pt idx="92">
                  <c:v>-3.5300000000000011</c:v>
                </c:pt>
                <c:pt idx="93">
                  <c:v>-3.7199999999999989</c:v>
                </c:pt>
                <c:pt idx="94">
                  <c:v>-3.490000000000002</c:v>
                </c:pt>
                <c:pt idx="95">
                  <c:v>-3.1500000000000057</c:v>
                </c:pt>
                <c:pt idx="96">
                  <c:v>-3.6699999999999946</c:v>
                </c:pt>
                <c:pt idx="97">
                  <c:v>-4.529999999999994</c:v>
                </c:pt>
                <c:pt idx="98">
                  <c:v>-4.7600000000000051</c:v>
                </c:pt>
                <c:pt idx="99">
                  <c:v>-3.9600000000000009</c:v>
                </c:pt>
                <c:pt idx="100">
                  <c:v>-1.4500000000000028</c:v>
                </c:pt>
                <c:pt idx="101">
                  <c:v>-1.1899999999999977</c:v>
                </c:pt>
                <c:pt idx="102">
                  <c:v>-0.28999999999999915</c:v>
                </c:pt>
                <c:pt idx="103">
                  <c:v>-9.9999999999980105E-3</c:v>
                </c:pt>
                <c:pt idx="104">
                  <c:v>-0.29999999999999716</c:v>
                </c:pt>
                <c:pt idx="105">
                  <c:v>-2.6600000000000037</c:v>
                </c:pt>
                <c:pt idx="106">
                  <c:v>-3.4000000000000057</c:v>
                </c:pt>
                <c:pt idx="107">
                  <c:v>-4.57</c:v>
                </c:pt>
                <c:pt idx="108">
                  <c:v>-5.7400000000000091</c:v>
                </c:pt>
                <c:pt idx="109">
                  <c:v>-6.1400000000000006</c:v>
                </c:pt>
                <c:pt idx="110">
                  <c:v>-4.4400000000000048</c:v>
                </c:pt>
                <c:pt idx="111">
                  <c:v>-6.6600000000000037</c:v>
                </c:pt>
                <c:pt idx="112">
                  <c:v>-4.980000000000004</c:v>
                </c:pt>
                <c:pt idx="113">
                  <c:v>-3.1299999999999955</c:v>
                </c:pt>
                <c:pt idx="114">
                  <c:v>-7.9000000000000057</c:v>
                </c:pt>
                <c:pt idx="115">
                  <c:v>-4.2700000000000031</c:v>
                </c:pt>
              </c:numCache>
            </c:numRef>
          </c:val>
          <c:smooth val="0"/>
          <c:extLst>
            <c:ext xmlns:c16="http://schemas.microsoft.com/office/drawing/2014/chart" uri="{C3380CC4-5D6E-409C-BE32-E72D297353CC}">
              <c16:uniqueId val="{00000005-A0C0-449A-B59D-153BEA9311F5}"/>
            </c:ext>
          </c:extLst>
        </c:ser>
        <c:dLbls>
          <c:showLegendKey val="0"/>
          <c:showVal val="0"/>
          <c:showCatName val="0"/>
          <c:showSerName val="0"/>
          <c:showPercent val="0"/>
          <c:showBubbleSize val="0"/>
        </c:dLbls>
        <c:smooth val="0"/>
        <c:axId val="673922008"/>
        <c:axId val="673916432"/>
      </c:lineChart>
      <c:dateAx>
        <c:axId val="673922008"/>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916432"/>
        <c:crosses val="autoZero"/>
        <c:auto val="1"/>
        <c:lblOffset val="100"/>
        <c:baseTimeUnit val="months"/>
      </c:dateAx>
      <c:valAx>
        <c:axId val="673916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922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Écarts et prime</a:t>
            </a:r>
            <a:r>
              <a:rPr lang="en-CA" baseline="0"/>
              <a:t> de transport</a:t>
            </a:r>
            <a:endParaRPr lang="en-CA"/>
          </a:p>
        </c:rich>
      </c:tx>
      <c:layout>
        <c:manualLayout>
          <c:xMode val="edge"/>
          <c:yMode val="edge"/>
          <c:x val="0.24069944662716566"/>
          <c:y val="2.33413422407101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'Écarts de prix'!$D$1</c:f>
              <c:strCache>
                <c:ptCount val="1"/>
                <c:pt idx="0">
                  <c:v>Écart du WCS</c:v>
                </c:pt>
              </c:strCache>
            </c:strRef>
          </c:tx>
          <c:spPr>
            <a:ln w="28575" cap="rnd">
              <a:solidFill>
                <a:schemeClr val="accent1"/>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prix'!$D$2:$D$117</c:f>
              <c:numCache>
                <c:formatCode>General</c:formatCode>
                <c:ptCount val="116"/>
                <c:pt idx="0" formatCode="0.00">
                  <c:v>-11.95</c:v>
                </c:pt>
                <c:pt idx="1">
                  <c:v>-7.55</c:v>
                </c:pt>
                <c:pt idx="2">
                  <c:v>-7.3</c:v>
                </c:pt>
                <c:pt idx="3">
                  <c:v>-6.19</c:v>
                </c:pt>
                <c:pt idx="4">
                  <c:v>-7.57</c:v>
                </c:pt>
                <c:pt idx="5">
                  <c:v>-8.52</c:v>
                </c:pt>
                <c:pt idx="6">
                  <c:v>-9.84</c:v>
                </c:pt>
                <c:pt idx="7">
                  <c:v>-10.57</c:v>
                </c:pt>
                <c:pt idx="8">
                  <c:v>-9.9499999999999993</c:v>
                </c:pt>
                <c:pt idx="9">
                  <c:v>-10.53</c:v>
                </c:pt>
                <c:pt idx="10">
                  <c:v>-13.11</c:v>
                </c:pt>
                <c:pt idx="11">
                  <c:v>-12.71</c:v>
                </c:pt>
                <c:pt idx="12">
                  <c:v>-9.1199999999999992</c:v>
                </c:pt>
                <c:pt idx="13">
                  <c:v>-8.5399999999999991</c:v>
                </c:pt>
                <c:pt idx="14">
                  <c:v>-9.4700000000000006</c:v>
                </c:pt>
                <c:pt idx="15">
                  <c:v>-12.56</c:v>
                </c:pt>
                <c:pt idx="16">
                  <c:v>-16.63</c:v>
                </c:pt>
                <c:pt idx="17">
                  <c:v>-13.08</c:v>
                </c:pt>
                <c:pt idx="18">
                  <c:v>-12.1</c:v>
                </c:pt>
                <c:pt idx="19">
                  <c:v>-14.74</c:v>
                </c:pt>
                <c:pt idx="20">
                  <c:v>-20.11</c:v>
                </c:pt>
                <c:pt idx="21">
                  <c:v>-25.23</c:v>
                </c:pt>
                <c:pt idx="22">
                  <c:v>-14.76</c:v>
                </c:pt>
                <c:pt idx="23">
                  <c:v>-14.34</c:v>
                </c:pt>
                <c:pt idx="24">
                  <c:v>-18.399999999999999</c:v>
                </c:pt>
                <c:pt idx="25">
                  <c:v>-26.32</c:v>
                </c:pt>
                <c:pt idx="26">
                  <c:v>-23.85</c:v>
                </c:pt>
                <c:pt idx="27">
                  <c:v>-20.350000000000001</c:v>
                </c:pt>
                <c:pt idx="28">
                  <c:v>-15.7</c:v>
                </c:pt>
                <c:pt idx="29">
                  <c:v>-16.87</c:v>
                </c:pt>
                <c:pt idx="30">
                  <c:v>-19.03</c:v>
                </c:pt>
                <c:pt idx="31">
                  <c:v>-19.829999999999998</c:v>
                </c:pt>
                <c:pt idx="32">
                  <c:v>-14.01</c:v>
                </c:pt>
                <c:pt idx="33">
                  <c:v>-9.89</c:v>
                </c:pt>
                <c:pt idx="34">
                  <c:v>-9.84</c:v>
                </c:pt>
                <c:pt idx="35">
                  <c:v>-11.72</c:v>
                </c:pt>
                <c:pt idx="36">
                  <c:v>-13.85</c:v>
                </c:pt>
                <c:pt idx="37">
                  <c:v>-19.22</c:v>
                </c:pt>
                <c:pt idx="38">
                  <c:v>-31.2</c:v>
                </c:pt>
                <c:pt idx="39">
                  <c:v>-32.950000000000003</c:v>
                </c:pt>
                <c:pt idx="40">
                  <c:v>-19.62</c:v>
                </c:pt>
                <c:pt idx="41">
                  <c:v>-16.04</c:v>
                </c:pt>
                <c:pt idx="42">
                  <c:v>-23.65</c:v>
                </c:pt>
                <c:pt idx="43">
                  <c:v>-25.13</c:v>
                </c:pt>
                <c:pt idx="44">
                  <c:v>-16.39</c:v>
                </c:pt>
                <c:pt idx="45">
                  <c:v>-9.69</c:v>
                </c:pt>
                <c:pt idx="46">
                  <c:v>-14.26</c:v>
                </c:pt>
                <c:pt idx="47">
                  <c:v>-30.38</c:v>
                </c:pt>
                <c:pt idx="48">
                  <c:v>-32.72</c:v>
                </c:pt>
                <c:pt idx="49">
                  <c:v>-36.92</c:v>
                </c:pt>
                <c:pt idx="50">
                  <c:v>-26.24</c:v>
                </c:pt>
                <c:pt idx="51">
                  <c:v>-23.2</c:v>
                </c:pt>
                <c:pt idx="52">
                  <c:v>-13.87</c:v>
                </c:pt>
                <c:pt idx="53">
                  <c:v>-20.41</c:v>
                </c:pt>
                <c:pt idx="54">
                  <c:v>-14.2</c:v>
                </c:pt>
                <c:pt idx="55">
                  <c:v>-15.57</c:v>
                </c:pt>
                <c:pt idx="56">
                  <c:v>-22.67</c:v>
                </c:pt>
                <c:pt idx="57">
                  <c:v>-26.34</c:v>
                </c:pt>
                <c:pt idx="58">
                  <c:v>-31.31</c:v>
                </c:pt>
                <c:pt idx="59">
                  <c:v>-38.94</c:v>
                </c:pt>
                <c:pt idx="60">
                  <c:v>-29.17</c:v>
                </c:pt>
                <c:pt idx="61">
                  <c:v>-19.14</c:v>
                </c:pt>
                <c:pt idx="62">
                  <c:v>-21.09</c:v>
                </c:pt>
                <c:pt idx="63">
                  <c:v>-22.48</c:v>
                </c:pt>
                <c:pt idx="64">
                  <c:v>-19.079999999999998</c:v>
                </c:pt>
                <c:pt idx="65">
                  <c:v>-18.59</c:v>
                </c:pt>
                <c:pt idx="66">
                  <c:v>-19.66</c:v>
                </c:pt>
                <c:pt idx="67">
                  <c:v>-22.19</c:v>
                </c:pt>
                <c:pt idx="68">
                  <c:v>-18.68</c:v>
                </c:pt>
                <c:pt idx="69">
                  <c:v>-13.74</c:v>
                </c:pt>
                <c:pt idx="70">
                  <c:v>-12.94</c:v>
                </c:pt>
                <c:pt idx="71">
                  <c:v>-16.05</c:v>
                </c:pt>
                <c:pt idx="72">
                  <c:v>-16.79</c:v>
                </c:pt>
                <c:pt idx="73">
                  <c:v>-14.06</c:v>
                </c:pt>
                <c:pt idx="74">
                  <c:v>-13.06</c:v>
                </c:pt>
                <c:pt idx="75">
                  <c:v>-14.19</c:v>
                </c:pt>
                <c:pt idx="76">
                  <c:v>-11.77</c:v>
                </c:pt>
                <c:pt idx="77">
                  <c:v>-8.5299999999999994</c:v>
                </c:pt>
                <c:pt idx="78">
                  <c:v>-7.41</c:v>
                </c:pt>
                <c:pt idx="79">
                  <c:v>-13.39</c:v>
                </c:pt>
                <c:pt idx="80">
                  <c:v>-18.98</c:v>
                </c:pt>
                <c:pt idx="81">
                  <c:v>-13.44</c:v>
                </c:pt>
                <c:pt idx="82">
                  <c:v>-14.66</c:v>
                </c:pt>
                <c:pt idx="83">
                  <c:v>-14.68</c:v>
                </c:pt>
                <c:pt idx="84">
                  <c:v>-13.8</c:v>
                </c:pt>
                <c:pt idx="85">
                  <c:v>-14.02</c:v>
                </c:pt>
                <c:pt idx="86">
                  <c:v>-14.09</c:v>
                </c:pt>
                <c:pt idx="87">
                  <c:v>-12.87</c:v>
                </c:pt>
                <c:pt idx="88">
                  <c:v>-14.19</c:v>
                </c:pt>
                <c:pt idx="89">
                  <c:v>-12.29</c:v>
                </c:pt>
                <c:pt idx="90">
                  <c:v>-11.85</c:v>
                </c:pt>
                <c:pt idx="91">
                  <c:v>-13.82</c:v>
                </c:pt>
                <c:pt idx="92">
                  <c:v>-14.56</c:v>
                </c:pt>
                <c:pt idx="93">
                  <c:v>-13.95</c:v>
                </c:pt>
                <c:pt idx="94">
                  <c:v>-13.77</c:v>
                </c:pt>
                <c:pt idx="95">
                  <c:v>-14.79</c:v>
                </c:pt>
                <c:pt idx="96">
                  <c:v>-15.31</c:v>
                </c:pt>
                <c:pt idx="97">
                  <c:v>-14.33</c:v>
                </c:pt>
                <c:pt idx="98">
                  <c:v>-13.65</c:v>
                </c:pt>
                <c:pt idx="99">
                  <c:v>-14.22</c:v>
                </c:pt>
                <c:pt idx="100">
                  <c:v>-9.64</c:v>
                </c:pt>
                <c:pt idx="101">
                  <c:v>-9.3800000000000008</c:v>
                </c:pt>
                <c:pt idx="102">
                  <c:v>-10.26</c:v>
                </c:pt>
                <c:pt idx="103">
                  <c:v>-9.5399999999999991</c:v>
                </c:pt>
                <c:pt idx="104">
                  <c:v>-9.89</c:v>
                </c:pt>
                <c:pt idx="105">
                  <c:v>-11.71</c:v>
                </c:pt>
                <c:pt idx="106">
                  <c:v>-11.12</c:v>
                </c:pt>
                <c:pt idx="107">
                  <c:v>-13.86</c:v>
                </c:pt>
                <c:pt idx="108">
                  <c:v>-21.17</c:v>
                </c:pt>
                <c:pt idx="109">
                  <c:v>-24.51</c:v>
                </c:pt>
                <c:pt idx="110">
                  <c:v>-27.2</c:v>
                </c:pt>
                <c:pt idx="111">
                  <c:v>-25.78</c:v>
                </c:pt>
                <c:pt idx="112">
                  <c:v>-16.73</c:v>
                </c:pt>
                <c:pt idx="113">
                  <c:v>-15.77</c:v>
                </c:pt>
                <c:pt idx="114">
                  <c:v>-18.149999999999999</c:v>
                </c:pt>
                <c:pt idx="115">
                  <c:v>-19.510000000000002</c:v>
                </c:pt>
              </c:numCache>
            </c:numRef>
          </c:val>
          <c:smooth val="0"/>
          <c:extLst>
            <c:ext xmlns:c16="http://schemas.microsoft.com/office/drawing/2014/chart" uri="{C3380CC4-5D6E-409C-BE32-E72D297353CC}">
              <c16:uniqueId val="{00000000-75A5-47C0-ACB4-4792E46D4A00}"/>
            </c:ext>
          </c:extLst>
        </c:ser>
        <c:ser>
          <c:idx val="1"/>
          <c:order val="1"/>
          <c:tx>
            <c:strRef>
              <c:f>'Écarts de prix'!$I$1</c:f>
              <c:strCache>
                <c:ptCount val="1"/>
                <c:pt idx="0">
                  <c:v>Écart du Maya</c:v>
                </c:pt>
              </c:strCache>
            </c:strRef>
          </c:tx>
          <c:spPr>
            <a:ln w="28575" cap="rnd">
              <a:solidFill>
                <a:schemeClr val="accent2"/>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prix'!$I$2:$I$117</c:f>
              <c:numCache>
                <c:formatCode>General</c:formatCode>
                <c:ptCount val="116"/>
                <c:pt idx="0">
                  <c:v>-2.9399999999999977</c:v>
                </c:pt>
                <c:pt idx="1">
                  <c:v>-0.95000000000000284</c:v>
                </c:pt>
                <c:pt idx="2">
                  <c:v>-7.4200000000000017</c:v>
                </c:pt>
                <c:pt idx="3">
                  <c:v>-2.6099999999999994</c:v>
                </c:pt>
                <c:pt idx="4">
                  <c:v>-1.5300000000000011</c:v>
                </c:pt>
                <c:pt idx="5">
                  <c:v>-3.75</c:v>
                </c:pt>
                <c:pt idx="6">
                  <c:v>-4.0399999999999991</c:v>
                </c:pt>
                <c:pt idx="7">
                  <c:v>-3.3200000000000074</c:v>
                </c:pt>
                <c:pt idx="8">
                  <c:v>-5.8799999999999955</c:v>
                </c:pt>
                <c:pt idx="9">
                  <c:v>-6.1499999999999915</c:v>
                </c:pt>
                <c:pt idx="10">
                  <c:v>-4.3400000000000034</c:v>
                </c:pt>
                <c:pt idx="11">
                  <c:v>-5.3399999999999892</c:v>
                </c:pt>
                <c:pt idx="12">
                  <c:v>-5.9699999999999989</c:v>
                </c:pt>
                <c:pt idx="13">
                  <c:v>-8.0400000000000063</c:v>
                </c:pt>
                <c:pt idx="14">
                  <c:v>-9.0400000000000063</c:v>
                </c:pt>
                <c:pt idx="15">
                  <c:v>-9.5200000000000102</c:v>
                </c:pt>
                <c:pt idx="16">
                  <c:v>-8.86</c:v>
                </c:pt>
                <c:pt idx="17">
                  <c:v>-10.949999999999989</c:v>
                </c:pt>
                <c:pt idx="18">
                  <c:v>-9.8699999999999903</c:v>
                </c:pt>
                <c:pt idx="19">
                  <c:v>-9.0300000000000011</c:v>
                </c:pt>
                <c:pt idx="20">
                  <c:v>-8.5300000000000011</c:v>
                </c:pt>
                <c:pt idx="21">
                  <c:v>-9.7099999999999937</c:v>
                </c:pt>
                <c:pt idx="22">
                  <c:v>-9.1200000000000045</c:v>
                </c:pt>
                <c:pt idx="23">
                  <c:v>-10.100000000000009</c:v>
                </c:pt>
                <c:pt idx="24">
                  <c:v>-9.5900000000000034</c:v>
                </c:pt>
                <c:pt idx="25">
                  <c:v>-6.4399999999999977</c:v>
                </c:pt>
                <c:pt idx="26">
                  <c:v>-12.5</c:v>
                </c:pt>
                <c:pt idx="27">
                  <c:v>-13.13000000000001</c:v>
                </c:pt>
                <c:pt idx="28">
                  <c:v>-13.549999999999997</c:v>
                </c:pt>
                <c:pt idx="29">
                  <c:v>-7.9599999999999937</c:v>
                </c:pt>
                <c:pt idx="30">
                  <c:v>-8.5499999999999972</c:v>
                </c:pt>
                <c:pt idx="31">
                  <c:v>-5.019999999999996</c:v>
                </c:pt>
                <c:pt idx="32">
                  <c:v>-4.3700000000000045</c:v>
                </c:pt>
                <c:pt idx="33">
                  <c:v>-11.129999999999995</c:v>
                </c:pt>
                <c:pt idx="34">
                  <c:v>-13.280000000000001</c:v>
                </c:pt>
                <c:pt idx="35">
                  <c:v>-9.0999999999999943</c:v>
                </c:pt>
                <c:pt idx="36">
                  <c:v>-2.1899999999999977</c:v>
                </c:pt>
                <c:pt idx="37">
                  <c:v>-2.0600000000000023</c:v>
                </c:pt>
                <c:pt idx="38">
                  <c:v>-7.7099999999999937</c:v>
                </c:pt>
                <c:pt idx="39">
                  <c:v>-11.930000000000007</c:v>
                </c:pt>
                <c:pt idx="40">
                  <c:v>-10.700000000000003</c:v>
                </c:pt>
                <c:pt idx="41">
                  <c:v>-6.8700000000000045</c:v>
                </c:pt>
                <c:pt idx="42">
                  <c:v>-2.5099999999999909</c:v>
                </c:pt>
                <c:pt idx="43">
                  <c:v>-0.53000000000000114</c:v>
                </c:pt>
                <c:pt idx="44">
                  <c:v>-8.6200000000000045</c:v>
                </c:pt>
                <c:pt idx="45">
                  <c:v>-8.0700000000000074</c:v>
                </c:pt>
                <c:pt idx="46">
                  <c:v>-13.100000000000009</c:v>
                </c:pt>
                <c:pt idx="47">
                  <c:v>-15.079999999999998</c:v>
                </c:pt>
                <c:pt idx="48">
                  <c:v>-15.209999999999994</c:v>
                </c:pt>
                <c:pt idx="49">
                  <c:v>-3.6099999999999994</c:v>
                </c:pt>
                <c:pt idx="50">
                  <c:v>-6.730000000000004</c:v>
                </c:pt>
                <c:pt idx="51">
                  <c:v>-10.75</c:v>
                </c:pt>
                <c:pt idx="52">
                  <c:v>-7.7400000000000091</c:v>
                </c:pt>
                <c:pt idx="53">
                  <c:v>-6.5999999999999943</c:v>
                </c:pt>
                <c:pt idx="54">
                  <c:v>-10.810000000000002</c:v>
                </c:pt>
                <c:pt idx="55">
                  <c:v>-11</c:v>
                </c:pt>
                <c:pt idx="56">
                  <c:v>-10.850000000000009</c:v>
                </c:pt>
                <c:pt idx="57">
                  <c:v>-8.2999999999999972</c:v>
                </c:pt>
                <c:pt idx="58">
                  <c:v>-7.1200000000000045</c:v>
                </c:pt>
                <c:pt idx="59">
                  <c:v>-8.5400000000000063</c:v>
                </c:pt>
                <c:pt idx="60">
                  <c:v>-2.2199999999999989</c:v>
                </c:pt>
                <c:pt idx="61">
                  <c:v>-14.759999999999991</c:v>
                </c:pt>
                <c:pt idx="62">
                  <c:v>-12.939999999999998</c:v>
                </c:pt>
                <c:pt idx="63">
                  <c:v>-10.230000000000004</c:v>
                </c:pt>
                <c:pt idx="64">
                  <c:v>-7.1099999999999994</c:v>
                </c:pt>
                <c:pt idx="65">
                  <c:v>-7.019999999999996</c:v>
                </c:pt>
                <c:pt idx="66">
                  <c:v>-8.75</c:v>
                </c:pt>
                <c:pt idx="67">
                  <c:v>-7.210000000000008</c:v>
                </c:pt>
                <c:pt idx="68">
                  <c:v>-7.4000000000000057</c:v>
                </c:pt>
                <c:pt idx="69">
                  <c:v>-7.5600000000000023</c:v>
                </c:pt>
                <c:pt idx="70">
                  <c:v>-6.7399999999999949</c:v>
                </c:pt>
                <c:pt idx="71">
                  <c:v>-9.509999999999998</c:v>
                </c:pt>
                <c:pt idx="72">
                  <c:v>-8.3699999999999974</c:v>
                </c:pt>
                <c:pt idx="73">
                  <c:v>-1.3299999999999983</c:v>
                </c:pt>
                <c:pt idx="74">
                  <c:v>-1.8599999999999994</c:v>
                </c:pt>
                <c:pt idx="75">
                  <c:v>-5.3399999999999963</c:v>
                </c:pt>
                <c:pt idx="76">
                  <c:v>-4.6800000000000068</c:v>
                </c:pt>
                <c:pt idx="77">
                  <c:v>-4.509999999999998</c:v>
                </c:pt>
                <c:pt idx="78">
                  <c:v>-1.7800000000000011</c:v>
                </c:pt>
                <c:pt idx="79">
                  <c:v>-3.75</c:v>
                </c:pt>
                <c:pt idx="80">
                  <c:v>-5.5200000000000031</c:v>
                </c:pt>
                <c:pt idx="81">
                  <c:v>-3.1899999999999977</c:v>
                </c:pt>
                <c:pt idx="82">
                  <c:v>-5.1199999999999974</c:v>
                </c:pt>
                <c:pt idx="83">
                  <c:v>-6.1800000000000033</c:v>
                </c:pt>
                <c:pt idx="84">
                  <c:v>-5.0500000000000007</c:v>
                </c:pt>
                <c:pt idx="85">
                  <c:v>-2.5199999999999996</c:v>
                </c:pt>
                <c:pt idx="86">
                  <c:v>-4.82</c:v>
                </c:pt>
                <c:pt idx="87">
                  <c:v>-6.8300000000000018</c:v>
                </c:pt>
                <c:pt idx="88">
                  <c:v>-4.1099999999999994</c:v>
                </c:pt>
                <c:pt idx="89">
                  <c:v>-3.8200000000000003</c:v>
                </c:pt>
                <c:pt idx="90">
                  <c:v>-2.6799999999999997</c:v>
                </c:pt>
                <c:pt idx="91">
                  <c:v>-3.4699999999999989</c:v>
                </c:pt>
                <c:pt idx="92">
                  <c:v>-3.5300000000000011</c:v>
                </c:pt>
                <c:pt idx="93">
                  <c:v>-3.7199999999999989</c:v>
                </c:pt>
                <c:pt idx="94">
                  <c:v>-3.490000000000002</c:v>
                </c:pt>
                <c:pt idx="95">
                  <c:v>-3.1500000000000057</c:v>
                </c:pt>
                <c:pt idx="96">
                  <c:v>-3.6699999999999946</c:v>
                </c:pt>
                <c:pt idx="97">
                  <c:v>-4.529999999999994</c:v>
                </c:pt>
                <c:pt idx="98">
                  <c:v>-4.7600000000000051</c:v>
                </c:pt>
                <c:pt idx="99">
                  <c:v>-3.9600000000000009</c:v>
                </c:pt>
                <c:pt idx="100">
                  <c:v>-1.4500000000000028</c:v>
                </c:pt>
                <c:pt idx="101">
                  <c:v>-1.1899999999999977</c:v>
                </c:pt>
                <c:pt idx="102">
                  <c:v>-0.28999999999999915</c:v>
                </c:pt>
                <c:pt idx="103">
                  <c:v>-9.9999999999980105E-3</c:v>
                </c:pt>
                <c:pt idx="104">
                  <c:v>-0.29999999999999716</c:v>
                </c:pt>
                <c:pt idx="105">
                  <c:v>-2.6600000000000037</c:v>
                </c:pt>
                <c:pt idx="106">
                  <c:v>-3.4000000000000057</c:v>
                </c:pt>
                <c:pt idx="107">
                  <c:v>-4.57</c:v>
                </c:pt>
                <c:pt idx="108">
                  <c:v>-5.7400000000000091</c:v>
                </c:pt>
                <c:pt idx="109">
                  <c:v>-6.1400000000000006</c:v>
                </c:pt>
                <c:pt idx="110">
                  <c:v>-4.4400000000000048</c:v>
                </c:pt>
                <c:pt idx="111">
                  <c:v>-6.6600000000000037</c:v>
                </c:pt>
                <c:pt idx="112">
                  <c:v>-4.980000000000004</c:v>
                </c:pt>
                <c:pt idx="113">
                  <c:v>-3.1299999999999955</c:v>
                </c:pt>
                <c:pt idx="114">
                  <c:v>-7.9000000000000057</c:v>
                </c:pt>
                <c:pt idx="115">
                  <c:v>-4.2700000000000031</c:v>
                </c:pt>
              </c:numCache>
            </c:numRef>
          </c:val>
          <c:smooth val="0"/>
          <c:extLst>
            <c:ext xmlns:c16="http://schemas.microsoft.com/office/drawing/2014/chart" uri="{C3380CC4-5D6E-409C-BE32-E72D297353CC}">
              <c16:uniqueId val="{00000001-75A5-47C0-ACB4-4792E46D4A00}"/>
            </c:ext>
          </c:extLst>
        </c:ser>
        <c:ser>
          <c:idx val="2"/>
          <c:order val="2"/>
          <c:tx>
            <c:strRef>
              <c:f>'Écarts de prix'!$J$1</c:f>
              <c:strCache>
                <c:ptCount val="1"/>
                <c:pt idx="0">
                  <c:v>Prime de transport</c:v>
                </c:pt>
              </c:strCache>
            </c:strRef>
          </c:tx>
          <c:spPr>
            <a:ln w="28575" cap="rnd">
              <a:solidFill>
                <a:schemeClr val="accent3"/>
              </a:solidFill>
              <a:round/>
            </a:ln>
            <a:effectLst/>
          </c:spPr>
          <c:marker>
            <c:symbol val="none"/>
          </c:marker>
          <c:cat>
            <c:numRef>
              <c:f>'Écarts de prix'!$A$2:$A$117</c:f>
              <c:numCache>
                <c:formatCode>m/d/yyyy</c:formatCode>
                <c:ptCount val="116"/>
                <c:pt idx="0">
                  <c:v>39814.291666666664</c:v>
                </c:pt>
                <c:pt idx="1">
                  <c:v>39845.291666666664</c:v>
                </c:pt>
                <c:pt idx="2">
                  <c:v>39873.291666666664</c:v>
                </c:pt>
                <c:pt idx="3">
                  <c:v>39904.25</c:v>
                </c:pt>
                <c:pt idx="4">
                  <c:v>39934.25</c:v>
                </c:pt>
                <c:pt idx="5">
                  <c:v>39965.25</c:v>
                </c:pt>
                <c:pt idx="6">
                  <c:v>39995.25</c:v>
                </c:pt>
                <c:pt idx="7">
                  <c:v>40026.25</c:v>
                </c:pt>
                <c:pt idx="8">
                  <c:v>40057.25</c:v>
                </c:pt>
                <c:pt idx="9">
                  <c:v>40087.25</c:v>
                </c:pt>
                <c:pt idx="10">
                  <c:v>40118.25</c:v>
                </c:pt>
                <c:pt idx="11">
                  <c:v>40148.291666666664</c:v>
                </c:pt>
                <c:pt idx="12">
                  <c:v>40179.291666666664</c:v>
                </c:pt>
                <c:pt idx="13">
                  <c:v>40210.291666666664</c:v>
                </c:pt>
                <c:pt idx="14">
                  <c:v>40238.291666666664</c:v>
                </c:pt>
                <c:pt idx="15">
                  <c:v>40269.25</c:v>
                </c:pt>
                <c:pt idx="16">
                  <c:v>40299.25</c:v>
                </c:pt>
                <c:pt idx="17">
                  <c:v>40330.25</c:v>
                </c:pt>
                <c:pt idx="18">
                  <c:v>40360.25</c:v>
                </c:pt>
                <c:pt idx="19">
                  <c:v>40391.25</c:v>
                </c:pt>
                <c:pt idx="20">
                  <c:v>40422.25</c:v>
                </c:pt>
                <c:pt idx="21">
                  <c:v>40452.25</c:v>
                </c:pt>
                <c:pt idx="22">
                  <c:v>40483.25</c:v>
                </c:pt>
                <c:pt idx="23">
                  <c:v>40513.291666666664</c:v>
                </c:pt>
                <c:pt idx="24">
                  <c:v>40544.291666666664</c:v>
                </c:pt>
                <c:pt idx="25">
                  <c:v>40575.291666666664</c:v>
                </c:pt>
                <c:pt idx="26">
                  <c:v>40603.291666666664</c:v>
                </c:pt>
                <c:pt idx="27">
                  <c:v>40634.25</c:v>
                </c:pt>
                <c:pt idx="28">
                  <c:v>40664.25</c:v>
                </c:pt>
                <c:pt idx="29">
                  <c:v>40695.25</c:v>
                </c:pt>
                <c:pt idx="30">
                  <c:v>40725.25</c:v>
                </c:pt>
                <c:pt idx="31">
                  <c:v>40756.25</c:v>
                </c:pt>
                <c:pt idx="32">
                  <c:v>40787.25</c:v>
                </c:pt>
                <c:pt idx="33">
                  <c:v>40817.25</c:v>
                </c:pt>
                <c:pt idx="34">
                  <c:v>40848.25</c:v>
                </c:pt>
                <c:pt idx="35">
                  <c:v>40878.291666666664</c:v>
                </c:pt>
                <c:pt idx="36">
                  <c:v>40909.291666666664</c:v>
                </c:pt>
                <c:pt idx="37">
                  <c:v>40940.291666666664</c:v>
                </c:pt>
                <c:pt idx="38">
                  <c:v>40969.291666666664</c:v>
                </c:pt>
                <c:pt idx="39">
                  <c:v>41000.25</c:v>
                </c:pt>
                <c:pt idx="40">
                  <c:v>41030.25</c:v>
                </c:pt>
                <c:pt idx="41">
                  <c:v>41061.25</c:v>
                </c:pt>
                <c:pt idx="42">
                  <c:v>41091.25</c:v>
                </c:pt>
                <c:pt idx="43">
                  <c:v>41122.25</c:v>
                </c:pt>
                <c:pt idx="44">
                  <c:v>41153.25</c:v>
                </c:pt>
                <c:pt idx="45">
                  <c:v>41183.25</c:v>
                </c:pt>
                <c:pt idx="46">
                  <c:v>41214.25</c:v>
                </c:pt>
                <c:pt idx="47">
                  <c:v>41244.291666666664</c:v>
                </c:pt>
                <c:pt idx="48">
                  <c:v>41275.291666666664</c:v>
                </c:pt>
                <c:pt idx="49">
                  <c:v>41306.291666666664</c:v>
                </c:pt>
                <c:pt idx="50">
                  <c:v>41334.291666666664</c:v>
                </c:pt>
                <c:pt idx="51">
                  <c:v>41365.25</c:v>
                </c:pt>
                <c:pt idx="52">
                  <c:v>41395.25</c:v>
                </c:pt>
                <c:pt idx="53">
                  <c:v>41426.25</c:v>
                </c:pt>
                <c:pt idx="54">
                  <c:v>41456.25</c:v>
                </c:pt>
                <c:pt idx="55">
                  <c:v>41487.25</c:v>
                </c:pt>
                <c:pt idx="56">
                  <c:v>41518.25</c:v>
                </c:pt>
                <c:pt idx="57">
                  <c:v>41548.25</c:v>
                </c:pt>
                <c:pt idx="58">
                  <c:v>41579.25</c:v>
                </c:pt>
                <c:pt idx="59">
                  <c:v>41609.291666666664</c:v>
                </c:pt>
                <c:pt idx="60">
                  <c:v>41640.291666666664</c:v>
                </c:pt>
                <c:pt idx="61">
                  <c:v>41671.291666666664</c:v>
                </c:pt>
                <c:pt idx="62">
                  <c:v>41699.291666666664</c:v>
                </c:pt>
                <c:pt idx="63">
                  <c:v>41730.25</c:v>
                </c:pt>
                <c:pt idx="64">
                  <c:v>41760.25</c:v>
                </c:pt>
                <c:pt idx="65">
                  <c:v>41791.25</c:v>
                </c:pt>
                <c:pt idx="66">
                  <c:v>41821.25</c:v>
                </c:pt>
                <c:pt idx="67">
                  <c:v>41852.25</c:v>
                </c:pt>
                <c:pt idx="68">
                  <c:v>41883.25</c:v>
                </c:pt>
                <c:pt idx="69">
                  <c:v>41913.25</c:v>
                </c:pt>
                <c:pt idx="70">
                  <c:v>41944.25</c:v>
                </c:pt>
                <c:pt idx="71">
                  <c:v>41974.291666666664</c:v>
                </c:pt>
                <c:pt idx="72">
                  <c:v>42005.291666666664</c:v>
                </c:pt>
                <c:pt idx="73">
                  <c:v>42036.291666666664</c:v>
                </c:pt>
                <c:pt idx="74">
                  <c:v>42064.291666666664</c:v>
                </c:pt>
                <c:pt idx="75">
                  <c:v>42095.25</c:v>
                </c:pt>
                <c:pt idx="76">
                  <c:v>42125.25</c:v>
                </c:pt>
                <c:pt idx="77">
                  <c:v>42156.25</c:v>
                </c:pt>
                <c:pt idx="78">
                  <c:v>42186.25</c:v>
                </c:pt>
                <c:pt idx="79">
                  <c:v>42217.25</c:v>
                </c:pt>
                <c:pt idx="80">
                  <c:v>42248.25</c:v>
                </c:pt>
                <c:pt idx="81">
                  <c:v>42278.25</c:v>
                </c:pt>
                <c:pt idx="82">
                  <c:v>42309.25</c:v>
                </c:pt>
                <c:pt idx="83">
                  <c:v>42339.291666666664</c:v>
                </c:pt>
                <c:pt idx="84">
                  <c:v>42370.291666666664</c:v>
                </c:pt>
                <c:pt idx="85">
                  <c:v>42401.291666666664</c:v>
                </c:pt>
                <c:pt idx="86">
                  <c:v>42430.291666666664</c:v>
                </c:pt>
                <c:pt idx="87">
                  <c:v>42461.25</c:v>
                </c:pt>
                <c:pt idx="88">
                  <c:v>42491.25</c:v>
                </c:pt>
                <c:pt idx="89">
                  <c:v>42522.25</c:v>
                </c:pt>
                <c:pt idx="90">
                  <c:v>42552.25</c:v>
                </c:pt>
                <c:pt idx="91">
                  <c:v>42583.25</c:v>
                </c:pt>
                <c:pt idx="92">
                  <c:v>42614.25</c:v>
                </c:pt>
                <c:pt idx="93">
                  <c:v>42644.25</c:v>
                </c:pt>
                <c:pt idx="94">
                  <c:v>42675.25</c:v>
                </c:pt>
                <c:pt idx="95">
                  <c:v>42705.291666666664</c:v>
                </c:pt>
                <c:pt idx="96">
                  <c:v>42736.291666666664</c:v>
                </c:pt>
                <c:pt idx="97">
                  <c:v>42767.291666666664</c:v>
                </c:pt>
                <c:pt idx="98">
                  <c:v>42795.291666666664</c:v>
                </c:pt>
                <c:pt idx="99">
                  <c:v>42826.25</c:v>
                </c:pt>
                <c:pt idx="100">
                  <c:v>42856.25</c:v>
                </c:pt>
                <c:pt idx="101">
                  <c:v>42887.25</c:v>
                </c:pt>
                <c:pt idx="102">
                  <c:v>42917.25</c:v>
                </c:pt>
                <c:pt idx="103">
                  <c:v>42948.25</c:v>
                </c:pt>
                <c:pt idx="104">
                  <c:v>42979.25</c:v>
                </c:pt>
                <c:pt idx="105">
                  <c:v>43009.25</c:v>
                </c:pt>
                <c:pt idx="106">
                  <c:v>43040.25</c:v>
                </c:pt>
                <c:pt idx="107">
                  <c:v>43070.291666666664</c:v>
                </c:pt>
                <c:pt idx="108">
                  <c:v>43101.291666666664</c:v>
                </c:pt>
                <c:pt idx="109">
                  <c:v>43132.291666666664</c:v>
                </c:pt>
                <c:pt idx="110">
                  <c:v>43160.291666666664</c:v>
                </c:pt>
                <c:pt idx="111">
                  <c:v>43191.25</c:v>
                </c:pt>
                <c:pt idx="112">
                  <c:v>43221.25</c:v>
                </c:pt>
                <c:pt idx="113">
                  <c:v>43252.25</c:v>
                </c:pt>
                <c:pt idx="114">
                  <c:v>43282.25</c:v>
                </c:pt>
                <c:pt idx="115">
                  <c:v>43313.25</c:v>
                </c:pt>
              </c:numCache>
            </c:numRef>
          </c:cat>
          <c:val>
            <c:numRef>
              <c:f>'Écarts de prix'!$J$2:$J$117</c:f>
              <c:numCache>
                <c:formatCode>0.00</c:formatCode>
                <c:ptCount val="116"/>
                <c:pt idx="0">
                  <c:v>9.0100000000000016</c:v>
                </c:pt>
                <c:pt idx="1">
                  <c:v>6.599999999999997</c:v>
                </c:pt>
                <c:pt idx="2">
                  <c:v>-0.12000000000000188</c:v>
                </c:pt>
                <c:pt idx="3">
                  <c:v>3.580000000000001</c:v>
                </c:pt>
                <c:pt idx="4">
                  <c:v>6.0399999999999991</c:v>
                </c:pt>
                <c:pt idx="5">
                  <c:v>4.7699999999999996</c:v>
                </c:pt>
                <c:pt idx="6">
                  <c:v>5.8000000000000007</c:v>
                </c:pt>
                <c:pt idx="7">
                  <c:v>7.2499999999999929</c:v>
                </c:pt>
                <c:pt idx="8">
                  <c:v>4.0700000000000038</c:v>
                </c:pt>
                <c:pt idx="9">
                  <c:v>4.3800000000000079</c:v>
                </c:pt>
                <c:pt idx="10">
                  <c:v>8.769999999999996</c:v>
                </c:pt>
                <c:pt idx="11">
                  <c:v>7.3700000000000117</c:v>
                </c:pt>
                <c:pt idx="12">
                  <c:v>3.1500000000000004</c:v>
                </c:pt>
                <c:pt idx="13">
                  <c:v>0.49999999999999289</c:v>
                </c:pt>
                <c:pt idx="14">
                  <c:v>0.42999999999999439</c:v>
                </c:pt>
                <c:pt idx="15">
                  <c:v>3.0399999999999903</c:v>
                </c:pt>
                <c:pt idx="16">
                  <c:v>7.77</c:v>
                </c:pt>
                <c:pt idx="17">
                  <c:v>2.1300000000000114</c:v>
                </c:pt>
                <c:pt idx="18">
                  <c:v>2.2300000000000093</c:v>
                </c:pt>
                <c:pt idx="19">
                  <c:v>5.7099999999999991</c:v>
                </c:pt>
                <c:pt idx="20">
                  <c:v>11.579999999999998</c:v>
                </c:pt>
                <c:pt idx="21">
                  <c:v>15.520000000000007</c:v>
                </c:pt>
                <c:pt idx="22">
                  <c:v>5.6399999999999952</c:v>
                </c:pt>
                <c:pt idx="23">
                  <c:v>4.2399999999999913</c:v>
                </c:pt>
                <c:pt idx="24">
                  <c:v>8.8099999999999952</c:v>
                </c:pt>
                <c:pt idx="25">
                  <c:v>19.880000000000003</c:v>
                </c:pt>
                <c:pt idx="26">
                  <c:v>11.350000000000001</c:v>
                </c:pt>
                <c:pt idx="27">
                  <c:v>7.2199999999999918</c:v>
                </c:pt>
                <c:pt idx="28">
                  <c:v>2.1500000000000021</c:v>
                </c:pt>
                <c:pt idx="29">
                  <c:v>8.9100000000000072</c:v>
                </c:pt>
                <c:pt idx="30">
                  <c:v>10.480000000000004</c:v>
                </c:pt>
                <c:pt idx="31">
                  <c:v>14.810000000000002</c:v>
                </c:pt>
                <c:pt idx="32">
                  <c:v>9.6399999999999952</c:v>
                </c:pt>
                <c:pt idx="33">
                  <c:v>-1.2399999999999949</c:v>
                </c:pt>
                <c:pt idx="34">
                  <c:v>-3.4400000000000013</c:v>
                </c:pt>
                <c:pt idx="35">
                  <c:v>2.6200000000000063</c:v>
                </c:pt>
                <c:pt idx="36">
                  <c:v>11.660000000000002</c:v>
                </c:pt>
                <c:pt idx="37">
                  <c:v>17.159999999999997</c:v>
                </c:pt>
                <c:pt idx="38">
                  <c:v>23.490000000000006</c:v>
                </c:pt>
                <c:pt idx="39">
                  <c:v>21.019999999999996</c:v>
                </c:pt>
                <c:pt idx="40">
                  <c:v>8.9199999999999982</c:v>
                </c:pt>
                <c:pt idx="41">
                  <c:v>9.1699999999999946</c:v>
                </c:pt>
                <c:pt idx="42">
                  <c:v>21.140000000000008</c:v>
                </c:pt>
                <c:pt idx="43">
                  <c:v>24.599999999999998</c:v>
                </c:pt>
                <c:pt idx="44">
                  <c:v>7.769999999999996</c:v>
                </c:pt>
                <c:pt idx="45">
                  <c:v>1.6199999999999921</c:v>
                </c:pt>
                <c:pt idx="46">
                  <c:v>1.1599999999999913</c:v>
                </c:pt>
                <c:pt idx="47">
                  <c:v>15.3</c:v>
                </c:pt>
                <c:pt idx="48">
                  <c:v>17.510000000000005</c:v>
                </c:pt>
                <c:pt idx="49">
                  <c:v>33.31</c:v>
                </c:pt>
                <c:pt idx="50">
                  <c:v>19.509999999999994</c:v>
                </c:pt>
                <c:pt idx="51">
                  <c:v>12.45</c:v>
                </c:pt>
                <c:pt idx="52">
                  <c:v>6.1299999999999901</c:v>
                </c:pt>
                <c:pt idx="53">
                  <c:v>13.810000000000006</c:v>
                </c:pt>
                <c:pt idx="54">
                  <c:v>3.389999999999997</c:v>
                </c:pt>
                <c:pt idx="55">
                  <c:v>4.57</c:v>
                </c:pt>
                <c:pt idx="56">
                  <c:v>11.819999999999993</c:v>
                </c:pt>
                <c:pt idx="57">
                  <c:v>18.040000000000003</c:v>
                </c:pt>
                <c:pt idx="58">
                  <c:v>24.189999999999994</c:v>
                </c:pt>
                <c:pt idx="59">
                  <c:v>30.399999999999991</c:v>
                </c:pt>
                <c:pt idx="60">
                  <c:v>26.950000000000003</c:v>
                </c:pt>
                <c:pt idx="61">
                  <c:v>4.3800000000000097</c:v>
                </c:pt>
                <c:pt idx="62">
                  <c:v>8.1500000000000021</c:v>
                </c:pt>
                <c:pt idx="63">
                  <c:v>12.249999999999996</c:v>
                </c:pt>
                <c:pt idx="64">
                  <c:v>11.969999999999999</c:v>
                </c:pt>
                <c:pt idx="65">
                  <c:v>11.570000000000004</c:v>
                </c:pt>
                <c:pt idx="66">
                  <c:v>10.91</c:v>
                </c:pt>
                <c:pt idx="67">
                  <c:v>14.979999999999993</c:v>
                </c:pt>
                <c:pt idx="68">
                  <c:v>11.279999999999994</c:v>
                </c:pt>
                <c:pt idx="69">
                  <c:v>6.1799999999999979</c:v>
                </c:pt>
                <c:pt idx="70">
                  <c:v>6.2000000000000046</c:v>
                </c:pt>
                <c:pt idx="71">
                  <c:v>6.5400000000000027</c:v>
                </c:pt>
                <c:pt idx="72">
                  <c:v>8.4200000000000017</c:v>
                </c:pt>
                <c:pt idx="73">
                  <c:v>12.730000000000002</c:v>
                </c:pt>
                <c:pt idx="74">
                  <c:v>11.200000000000001</c:v>
                </c:pt>
                <c:pt idx="75">
                  <c:v>8.8500000000000032</c:v>
                </c:pt>
                <c:pt idx="76">
                  <c:v>7.0899999999999928</c:v>
                </c:pt>
                <c:pt idx="77">
                  <c:v>4.0200000000000014</c:v>
                </c:pt>
                <c:pt idx="78">
                  <c:v>5.629999999999999</c:v>
                </c:pt>
                <c:pt idx="79">
                  <c:v>9.64</c:v>
                </c:pt>
                <c:pt idx="80">
                  <c:v>13.459999999999997</c:v>
                </c:pt>
                <c:pt idx="81">
                  <c:v>10.250000000000002</c:v>
                </c:pt>
                <c:pt idx="82">
                  <c:v>9.5400000000000027</c:v>
                </c:pt>
                <c:pt idx="83">
                  <c:v>8.4999999999999964</c:v>
                </c:pt>
                <c:pt idx="84">
                  <c:v>8.75</c:v>
                </c:pt>
                <c:pt idx="85">
                  <c:v>11.5</c:v>
                </c:pt>
                <c:pt idx="86">
                  <c:v>9.27</c:v>
                </c:pt>
                <c:pt idx="87">
                  <c:v>6.0399999999999974</c:v>
                </c:pt>
                <c:pt idx="88">
                  <c:v>10.08</c:v>
                </c:pt>
                <c:pt idx="89">
                  <c:v>8.4699999999999989</c:v>
                </c:pt>
                <c:pt idx="90">
                  <c:v>9.17</c:v>
                </c:pt>
                <c:pt idx="91">
                  <c:v>10.350000000000001</c:v>
                </c:pt>
                <c:pt idx="92">
                  <c:v>11.03</c:v>
                </c:pt>
                <c:pt idx="93">
                  <c:v>10.23</c:v>
                </c:pt>
                <c:pt idx="94">
                  <c:v>10.279999999999998</c:v>
                </c:pt>
                <c:pt idx="95">
                  <c:v>11.639999999999993</c:v>
                </c:pt>
                <c:pt idx="96">
                  <c:v>11.640000000000006</c:v>
                </c:pt>
                <c:pt idx="97">
                  <c:v>9.800000000000006</c:v>
                </c:pt>
                <c:pt idx="98">
                  <c:v>8.8899999999999952</c:v>
                </c:pt>
                <c:pt idx="99">
                  <c:v>10.26</c:v>
                </c:pt>
                <c:pt idx="100">
                  <c:v>8.1899999999999977</c:v>
                </c:pt>
                <c:pt idx="101">
                  <c:v>8.1900000000000031</c:v>
                </c:pt>
                <c:pt idx="102">
                  <c:v>9.9700000000000006</c:v>
                </c:pt>
                <c:pt idx="103">
                  <c:v>9.5300000000000011</c:v>
                </c:pt>
                <c:pt idx="104">
                  <c:v>9.5900000000000034</c:v>
                </c:pt>
                <c:pt idx="105">
                  <c:v>9.0499999999999972</c:v>
                </c:pt>
                <c:pt idx="106">
                  <c:v>7.7199999999999935</c:v>
                </c:pt>
                <c:pt idx="107">
                  <c:v>9.2899999999999991</c:v>
                </c:pt>
                <c:pt idx="108">
                  <c:v>15.429999999999993</c:v>
                </c:pt>
                <c:pt idx="109">
                  <c:v>18.37</c:v>
                </c:pt>
                <c:pt idx="110">
                  <c:v>22.759999999999994</c:v>
                </c:pt>
                <c:pt idx="111">
                  <c:v>19.119999999999997</c:v>
                </c:pt>
                <c:pt idx="112">
                  <c:v>11.749999999999996</c:v>
                </c:pt>
                <c:pt idx="113">
                  <c:v>12.640000000000004</c:v>
                </c:pt>
                <c:pt idx="114">
                  <c:v>10.249999999999993</c:v>
                </c:pt>
                <c:pt idx="115">
                  <c:v>15.239999999999998</c:v>
                </c:pt>
              </c:numCache>
            </c:numRef>
          </c:val>
          <c:smooth val="0"/>
          <c:extLst>
            <c:ext xmlns:c16="http://schemas.microsoft.com/office/drawing/2014/chart" uri="{C3380CC4-5D6E-409C-BE32-E72D297353CC}">
              <c16:uniqueId val="{00000002-75A5-47C0-ACB4-4792E46D4A00}"/>
            </c:ext>
          </c:extLst>
        </c:ser>
        <c:dLbls>
          <c:showLegendKey val="0"/>
          <c:showVal val="0"/>
          <c:showCatName val="0"/>
          <c:showSerName val="0"/>
          <c:showPercent val="0"/>
          <c:showBubbleSize val="0"/>
        </c:dLbls>
        <c:smooth val="0"/>
        <c:axId val="731505904"/>
        <c:axId val="731501312"/>
      </c:lineChart>
      <c:dateAx>
        <c:axId val="731505904"/>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501312"/>
        <c:crosses val="autoZero"/>
        <c:auto val="1"/>
        <c:lblOffset val="100"/>
        <c:baseTimeUnit val="months"/>
      </c:dateAx>
      <c:valAx>
        <c:axId val="7315013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505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152400</xdr:rowOff>
    </xdr:from>
    <xdr:to>
      <xdr:col>1</xdr:col>
      <xdr:colOff>647700</xdr:colOff>
      <xdr:row>6</xdr:row>
      <xdr:rowOff>0</xdr:rowOff>
    </xdr:to>
    <xdr:pic>
      <xdr:nvPicPr>
        <xdr:cNvPr id="2" name="Picture 1" descr="C:\Users\SrivaV\AppData\Roaming\OpenText\OTEdit\EC_edrms\c15599997\image002.png@01D454E8.9E1291F0">
          <a:extLst>
            <a:ext uri="{FF2B5EF4-FFF2-40B4-BE49-F238E27FC236}">
              <a16:creationId xmlns:a16="http://schemas.microsoft.com/office/drawing/2014/main" id="{6F6A50BD-61B0-4CC2-85BA-53038B5470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52400"/>
          <a:ext cx="609600" cy="819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321468</xdr:colOff>
      <xdr:row>1</xdr:row>
      <xdr:rowOff>0</xdr:rowOff>
    </xdr:from>
    <xdr:to>
      <xdr:col>12</xdr:col>
      <xdr:colOff>401479</xdr:colOff>
      <xdr:row>14</xdr:row>
      <xdr:rowOff>171450</xdr:rowOff>
    </xdr:to>
    <xdr:graphicFrame macro="">
      <xdr:nvGraphicFramePr>
        <xdr:cNvPr id="2" name="Chart 1">
          <a:extLst>
            <a:ext uri="{FF2B5EF4-FFF2-40B4-BE49-F238E27FC236}">
              <a16:creationId xmlns:a16="http://schemas.microsoft.com/office/drawing/2014/main" id="{FB423433-A2A4-4659-A66D-C614F559F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21</xdr:row>
      <xdr:rowOff>104775</xdr:rowOff>
    </xdr:from>
    <xdr:ext cx="8914286" cy="4714286"/>
    <xdr:pic>
      <xdr:nvPicPr>
        <xdr:cNvPr id="2" name="Picture 1">
          <a:extLst>
            <a:ext uri="{FF2B5EF4-FFF2-40B4-BE49-F238E27FC236}">
              <a16:creationId xmlns:a16="http://schemas.microsoft.com/office/drawing/2014/main" id="{B566748C-9ADE-48C5-9C84-D4573CF0D46F}"/>
            </a:ext>
          </a:extLst>
        </xdr:cNvPr>
        <xdr:cNvPicPr>
          <a:picLocks noChangeAspect="1"/>
        </xdr:cNvPicPr>
      </xdr:nvPicPr>
      <xdr:blipFill>
        <a:blip xmlns:r="http://schemas.openxmlformats.org/officeDocument/2006/relationships" r:embed="rId1"/>
        <a:stretch>
          <a:fillRect/>
        </a:stretch>
      </xdr:blipFill>
      <xdr:spPr>
        <a:xfrm>
          <a:off x="0" y="4991100"/>
          <a:ext cx="8914286" cy="471428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12</xdr:col>
      <xdr:colOff>528637</xdr:colOff>
      <xdr:row>0</xdr:row>
      <xdr:rowOff>47625</xdr:rowOff>
    </xdr:from>
    <xdr:to>
      <xdr:col>19</xdr:col>
      <xdr:colOff>300037</xdr:colOff>
      <xdr:row>13</xdr:row>
      <xdr:rowOff>190500</xdr:rowOff>
    </xdr:to>
    <xdr:graphicFrame macro="">
      <xdr:nvGraphicFramePr>
        <xdr:cNvPr id="2" name="Chart 1">
          <a:extLst>
            <a:ext uri="{FF2B5EF4-FFF2-40B4-BE49-F238E27FC236}">
              <a16:creationId xmlns:a16="http://schemas.microsoft.com/office/drawing/2014/main" id="{71E061AC-AA6A-493E-9A55-7BE704DC7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531017</xdr:colOff>
      <xdr:row>14</xdr:row>
      <xdr:rowOff>83342</xdr:rowOff>
    </xdr:from>
    <xdr:to>
      <xdr:col>19</xdr:col>
      <xdr:colOff>395286</xdr:colOff>
      <xdr:row>28</xdr:row>
      <xdr:rowOff>185737</xdr:rowOff>
    </xdr:to>
    <xdr:graphicFrame macro="">
      <xdr:nvGraphicFramePr>
        <xdr:cNvPr id="3" name="Chart 2">
          <a:extLst>
            <a:ext uri="{FF2B5EF4-FFF2-40B4-BE49-F238E27FC236}">
              <a16:creationId xmlns:a16="http://schemas.microsoft.com/office/drawing/2014/main" id="{B0AB70B0-1946-47EF-949B-E41F49537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rivaV\AppData\Local\Microsoft\Windows\INetCache\Content.Outlook\NCWNVC4G\Oil%20Price%20Fig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ow r="24">
          <cell r="G24">
            <v>17</v>
          </cell>
        </row>
        <row r="100">
          <cell r="B100">
            <v>31.336666666666599</v>
          </cell>
          <cell r="G100">
            <v>49.726666666666603</v>
          </cell>
        </row>
        <row r="101">
          <cell r="B101">
            <v>32.0966666666667</v>
          </cell>
          <cell r="G101">
            <v>53.053333333333299</v>
          </cell>
        </row>
        <row r="102">
          <cell r="B102">
            <v>45.07</v>
          </cell>
          <cell r="G102">
            <v>63.1933333333333</v>
          </cell>
        </row>
        <row r="103">
          <cell r="B103">
            <v>36.19</v>
          </cell>
          <cell r="G103">
            <v>59.996666666666599</v>
          </cell>
        </row>
        <row r="104">
          <cell r="B104">
            <v>34.54</v>
          </cell>
          <cell r="G104">
            <v>63.27</v>
          </cell>
        </row>
        <row r="105">
          <cell r="B105">
            <v>53.36</v>
          </cell>
          <cell r="G105">
            <v>70.41</v>
          </cell>
        </row>
        <row r="106">
          <cell r="B106">
            <v>51.71</v>
          </cell>
          <cell r="G106">
            <v>70.4166666666666</v>
          </cell>
        </row>
        <row r="107">
          <cell r="B107">
            <v>39.756666666666597</v>
          </cell>
          <cell r="G107">
            <v>59.976666666666603</v>
          </cell>
        </row>
        <row r="108">
          <cell r="B108">
            <v>42.61</v>
          </cell>
          <cell r="G108">
            <v>58.076666666666597</v>
          </cell>
        </row>
        <row r="109">
          <cell r="B109">
            <v>45.793333333333301</v>
          </cell>
          <cell r="G109">
            <v>64.976666666666603</v>
          </cell>
        </row>
        <row r="110">
          <cell r="B110">
            <v>53.0266666666666</v>
          </cell>
          <cell r="G110">
            <v>75.466666666666598</v>
          </cell>
        </row>
        <row r="111">
          <cell r="B111">
            <v>57.076666666666704</v>
          </cell>
          <cell r="G111">
            <v>90.753333333333302</v>
          </cell>
        </row>
        <row r="112">
          <cell r="B112">
            <v>76.483333333333206</v>
          </cell>
          <cell r="G112">
            <v>97.936666666666596</v>
          </cell>
        </row>
        <row r="113">
          <cell r="B113">
            <v>102.329999999999</v>
          </cell>
          <cell r="G113">
            <v>123.95333333333301</v>
          </cell>
        </row>
        <row r="114">
          <cell r="B114">
            <v>100.046666666666</v>
          </cell>
          <cell r="G114">
            <v>118.05</v>
          </cell>
        </row>
        <row r="115">
          <cell r="B115">
            <v>39.213333333333303</v>
          </cell>
          <cell r="G115">
            <v>58.3466666666666</v>
          </cell>
        </row>
        <row r="116">
          <cell r="B116">
            <v>33.979999999999897</v>
          </cell>
          <cell r="G116">
            <v>42.913333333333298</v>
          </cell>
        </row>
        <row r="117">
          <cell r="B117">
            <v>52.0133333333333</v>
          </cell>
          <cell r="G117">
            <v>59.44</v>
          </cell>
        </row>
        <row r="118">
          <cell r="B118">
            <v>58.0566666666667</v>
          </cell>
          <cell r="G118">
            <v>68.203333333333305</v>
          </cell>
        </row>
        <row r="119">
          <cell r="B119">
            <v>63.943333333333399</v>
          </cell>
          <cell r="G119">
            <v>76.06</v>
          </cell>
        </row>
        <row r="120">
          <cell r="B120">
            <v>69.596666666666493</v>
          </cell>
          <cell r="G120">
            <v>78.64</v>
          </cell>
        </row>
        <row r="121">
          <cell r="B121">
            <v>63.7</v>
          </cell>
          <cell r="G121">
            <v>77.790000000000006</v>
          </cell>
        </row>
        <row r="122">
          <cell r="B122">
            <v>60.4033333333333</v>
          </cell>
          <cell r="G122">
            <v>76.053333333333299</v>
          </cell>
        </row>
        <row r="123">
          <cell r="B123">
            <v>66.979999999999905</v>
          </cell>
          <cell r="G123">
            <v>85.096666666666394</v>
          </cell>
        </row>
        <row r="124">
          <cell r="B124">
            <v>70.676666666666605</v>
          </cell>
          <cell r="G124">
            <v>93.536666666666605</v>
          </cell>
        </row>
        <row r="125">
          <cell r="B125">
            <v>84.593333333333405</v>
          </cell>
          <cell r="G125">
            <v>102.23</v>
          </cell>
        </row>
        <row r="126">
          <cell r="B126">
            <v>72.093333333333305</v>
          </cell>
          <cell r="G126">
            <v>89.716666666666598</v>
          </cell>
        </row>
        <row r="127">
          <cell r="B127">
            <v>83.53</v>
          </cell>
          <cell r="G127">
            <v>94.013333333333307</v>
          </cell>
        </row>
        <row r="128">
          <cell r="B128">
            <v>81.453333333332594</v>
          </cell>
          <cell r="G128">
            <v>102.876666666666</v>
          </cell>
        </row>
        <row r="129">
          <cell r="B129">
            <v>70.563333333333304</v>
          </cell>
          <cell r="G129">
            <v>93.426666666666605</v>
          </cell>
        </row>
        <row r="130">
          <cell r="B130">
            <v>70.456666666666706</v>
          </cell>
          <cell r="G130">
            <v>92.18</v>
          </cell>
        </row>
        <row r="131">
          <cell r="B131">
            <v>69.849999999999895</v>
          </cell>
          <cell r="G131">
            <v>87.959999999999894</v>
          </cell>
        </row>
        <row r="132">
          <cell r="B132">
            <v>62.376666666666601</v>
          </cell>
          <cell r="G132">
            <v>94.336666666666602</v>
          </cell>
        </row>
        <row r="133">
          <cell r="B133">
            <v>74.94</v>
          </cell>
          <cell r="G133">
            <v>94.1</v>
          </cell>
        </row>
        <row r="134">
          <cell r="B134">
            <v>88.363333333333003</v>
          </cell>
          <cell r="G134">
            <v>105.84333333333301</v>
          </cell>
        </row>
        <row r="135">
          <cell r="B135">
            <v>65.146666666666704</v>
          </cell>
          <cell r="G135">
            <v>97.343333333333305</v>
          </cell>
        </row>
        <row r="136">
          <cell r="B136">
            <v>75.543333333333294</v>
          </cell>
          <cell r="G136">
            <v>98.746666666666599</v>
          </cell>
        </row>
        <row r="137">
          <cell r="B137">
            <v>82.953333333333305</v>
          </cell>
          <cell r="G137">
            <v>103.346666666666</v>
          </cell>
        </row>
        <row r="138">
          <cell r="B138">
            <v>76.989999999999995</v>
          </cell>
          <cell r="G138">
            <v>97.779999999999902</v>
          </cell>
        </row>
        <row r="139">
          <cell r="B139">
            <v>58.9033333333333</v>
          </cell>
          <cell r="G139">
            <v>73.16</v>
          </cell>
        </row>
        <row r="140">
          <cell r="B140">
            <v>33.906666666666602</v>
          </cell>
          <cell r="G140">
            <v>48.54</v>
          </cell>
        </row>
        <row r="141">
          <cell r="B141">
            <v>46.35</v>
          </cell>
          <cell r="G141">
            <v>57.8466666666666</v>
          </cell>
        </row>
        <row r="142">
          <cell r="B142">
            <v>33.156666666666602</v>
          </cell>
          <cell r="G142">
            <v>46.4166666666666</v>
          </cell>
        </row>
        <row r="143">
          <cell r="B143">
            <v>27.69</v>
          </cell>
          <cell r="G143">
            <v>41.95</v>
          </cell>
        </row>
        <row r="144">
          <cell r="B144">
            <v>20.14</v>
          </cell>
          <cell r="G144">
            <v>33.183333333333302</v>
          </cell>
        </row>
        <row r="145">
          <cell r="B145">
            <v>32.836666666666602</v>
          </cell>
          <cell r="G145">
            <v>45.406666666666602</v>
          </cell>
        </row>
        <row r="146">
          <cell r="B146">
            <v>30.713333333333299</v>
          </cell>
          <cell r="G146">
            <v>44.85</v>
          </cell>
        </row>
        <row r="147">
          <cell r="B147">
            <v>34.43</v>
          </cell>
          <cell r="G147">
            <v>49.136666666666599</v>
          </cell>
        </row>
        <row r="148">
          <cell r="B148">
            <v>38.163333333333298</v>
          </cell>
          <cell r="G148">
            <v>51.766666666666602</v>
          </cell>
        </row>
        <row r="149">
          <cell r="B149">
            <v>38.396666666666597</v>
          </cell>
          <cell r="G149">
            <v>48.24</v>
          </cell>
        </row>
        <row r="150">
          <cell r="B150">
            <v>37.659999999999997</v>
          </cell>
          <cell r="G150">
            <v>48.163333333333298</v>
          </cell>
        </row>
        <row r="151">
          <cell r="B151">
            <v>38.58</v>
          </cell>
          <cell r="G151">
            <v>55.366666666666603</v>
          </cell>
        </row>
        <row r="152">
          <cell r="B152">
            <v>36.966666666666598</v>
          </cell>
          <cell r="G152">
            <v>62.886666666666599</v>
          </cell>
        </row>
        <row r="153">
          <cell r="B153">
            <v>49.6666666666666</v>
          </cell>
          <cell r="G153">
            <v>68.033333333333303</v>
          </cell>
        </row>
        <row r="154">
          <cell r="B154">
            <v>41.853333333333303</v>
          </cell>
          <cell r="G154">
            <v>69.756666666666604</v>
          </cell>
        </row>
        <row r="155">
          <cell r="B155">
            <v>27.233666666666601</v>
          </cell>
          <cell r="G155">
            <v>72.0803333333333</v>
          </cell>
        </row>
        <row r="156">
          <cell r="B156">
            <v>34.603666666666598</v>
          </cell>
          <cell r="G156">
            <v>71.853666666666598</v>
          </cell>
        </row>
        <row r="157">
          <cell r="B157">
            <v>42.306666666666601</v>
          </cell>
          <cell r="G157">
            <v>71.656666666666595</v>
          </cell>
        </row>
        <row r="158">
          <cell r="B158">
            <v>44.151000000000003</v>
          </cell>
          <cell r="G158">
            <v>71.150999999999996</v>
          </cell>
        </row>
        <row r="159">
          <cell r="B159">
            <v>42.720333333333301</v>
          </cell>
          <cell r="G159">
            <v>70.320333333333295</v>
          </cell>
        </row>
        <row r="160">
          <cell r="B160">
            <v>41.442666666666597</v>
          </cell>
          <cell r="G160">
            <v>69.292666666666605</v>
          </cell>
        </row>
        <row r="161">
          <cell r="B161">
            <v>40.4553333333333</v>
          </cell>
          <cell r="G161">
            <v>68.305333333333294</v>
          </cell>
        </row>
        <row r="162">
          <cell r="B162">
            <v>39.468000000000004</v>
          </cell>
          <cell r="G162">
            <v>67.317999999999998</v>
          </cell>
        </row>
        <row r="163">
          <cell r="B163">
            <v>38.691561055280602</v>
          </cell>
          <cell r="G163">
            <v>66.541561055280596</v>
          </cell>
        </row>
        <row r="164">
          <cell r="B164">
            <v>38.890653831884698</v>
          </cell>
          <cell r="G164">
            <v>66.7406538318847</v>
          </cell>
        </row>
        <row r="165">
          <cell r="B165">
            <v>39.221883130003199</v>
          </cell>
          <cell r="G165">
            <v>67.071883130003201</v>
          </cell>
        </row>
        <row r="166">
          <cell r="B166">
            <v>39.554756296463403</v>
          </cell>
          <cell r="G166">
            <v>67.404756296463404</v>
          </cell>
        </row>
        <row r="167">
          <cell r="B167">
            <v>39.889281489671198</v>
          </cell>
          <cell r="G167">
            <v>67.7392814896712</v>
          </cell>
        </row>
        <row r="168">
          <cell r="B168">
            <v>40.225466908522399</v>
          </cell>
          <cell r="G168">
            <v>68.075466908522401</v>
          </cell>
        </row>
        <row r="169">
          <cell r="B169">
            <v>40.563320792603299</v>
          </cell>
          <cell r="G169">
            <v>68.413320792603301</v>
          </cell>
        </row>
        <row r="170">
          <cell r="B170">
            <v>40.9028514223927</v>
          </cell>
          <cell r="G170">
            <v>68.752851422392695</v>
          </cell>
        </row>
        <row r="171">
          <cell r="B171">
            <v>41.244067119464603</v>
          </cell>
          <cell r="G171">
            <v>69.094067119464597</v>
          </cell>
        </row>
        <row r="172">
          <cell r="B172">
            <v>41.586976246692899</v>
          </cell>
          <cell r="G172">
            <v>69.436976246692794</v>
          </cell>
        </row>
        <row r="173">
          <cell r="B173">
            <v>41.931587208455397</v>
          </cell>
          <cell r="G173">
            <v>69.781587208455406</v>
          </cell>
        </row>
        <row r="174">
          <cell r="B174">
            <v>42.277908450840499</v>
          </cell>
          <cell r="G174">
            <v>70.127908450840394</v>
          </cell>
        </row>
        <row r="175">
          <cell r="B175">
            <v>42.625948461853902</v>
          </cell>
          <cell r="G175">
            <v>70.475948461853903</v>
          </cell>
        </row>
        <row r="176">
          <cell r="B176">
            <v>42.975715771626803</v>
          </cell>
          <cell r="G176">
            <v>70.825715771626804</v>
          </cell>
        </row>
        <row r="177">
          <cell r="B177">
            <v>43.327218952624499</v>
          </cell>
          <cell r="G177">
            <v>71.1772189526245</v>
          </cell>
        </row>
        <row r="178">
          <cell r="B178">
            <v>43.680466619857299</v>
          </cell>
          <cell r="G178">
            <v>71.530466619857194</v>
          </cell>
        </row>
        <row r="179">
          <cell r="B179">
            <v>44.035467431091</v>
          </cell>
          <cell r="G179">
            <v>71.885467431091001</v>
          </cell>
        </row>
        <row r="180">
          <cell r="B180">
            <v>44.392230087059303</v>
          </cell>
          <cell r="G180">
            <v>72.242230087059298</v>
          </cell>
        </row>
        <row r="181">
          <cell r="B181">
            <v>44.750763331677099</v>
          </cell>
          <cell r="G181">
            <v>72.600763331677101</v>
          </cell>
        </row>
        <row r="182">
          <cell r="B182">
            <v>45.111075952254502</v>
          </cell>
          <cell r="G182">
            <v>72.961075952254504</v>
          </cell>
        </row>
        <row r="183">
          <cell r="B183">
            <v>45.473176779712901</v>
          </cell>
          <cell r="G183">
            <v>73.323176779712895</v>
          </cell>
        </row>
        <row r="184">
          <cell r="B184">
            <v>45.837074688800598</v>
          </cell>
          <cell r="G184">
            <v>73.687074688800607</v>
          </cell>
        </row>
        <row r="185">
          <cell r="B185">
            <v>46.202778598310701</v>
          </cell>
          <cell r="G185">
            <v>74.052778598310695</v>
          </cell>
        </row>
        <row r="186">
          <cell r="B186">
            <v>46.570297471299703</v>
          </cell>
          <cell r="G186">
            <v>74.420297471299705</v>
          </cell>
        </row>
        <row r="187">
          <cell r="B187">
            <v>46.939640315307201</v>
          </cell>
          <cell r="G187">
            <v>74.789640315307196</v>
          </cell>
        </row>
        <row r="188">
          <cell r="B188">
            <v>47.310816182576602</v>
          </cell>
          <cell r="G188">
            <v>75.160816182576596</v>
          </cell>
        </row>
        <row r="189">
          <cell r="B189">
            <v>47.683834170276903</v>
          </cell>
          <cell r="G189">
            <v>75.533834170276904</v>
          </cell>
        </row>
        <row r="190">
          <cell r="B190">
            <v>48.058703420725699</v>
          </cell>
          <cell r="G190">
            <v>75.908703420725701</v>
          </cell>
        </row>
        <row r="191">
          <cell r="B191">
            <v>48.4354331216134</v>
          </cell>
          <cell r="G191">
            <v>76.285433121613394</v>
          </cell>
        </row>
        <row r="192">
          <cell r="B192">
            <v>48.814032506228202</v>
          </cell>
          <cell r="G192">
            <v>76.664032506228196</v>
          </cell>
        </row>
        <row r="193">
          <cell r="B193">
            <v>49.194510853682502</v>
          </cell>
          <cell r="G193">
            <v>77.044510853682496</v>
          </cell>
        </row>
        <row r="194">
          <cell r="B194">
            <v>49.576877489140301</v>
          </cell>
          <cell r="G194">
            <v>77.426877489140296</v>
          </cell>
        </row>
        <row r="195">
          <cell r="B195">
            <v>49.961141784045701</v>
          </cell>
          <cell r="G195">
            <v>77.811141784045702</v>
          </cell>
        </row>
        <row r="196">
          <cell r="B196">
            <v>50.347313156352797</v>
          </cell>
          <cell r="G196">
            <v>78.197313156352806</v>
          </cell>
        </row>
        <row r="197">
          <cell r="B197">
            <v>50.735401070756197</v>
          </cell>
          <cell r="G197">
            <v>78.585401070756205</v>
          </cell>
        </row>
        <row r="198">
          <cell r="B198">
            <v>51.125415038923101</v>
          </cell>
          <cell r="G198">
            <v>78.975415038923103</v>
          </cell>
        </row>
        <row r="199">
          <cell r="B199">
            <v>51.517364619726699</v>
          </cell>
          <cell r="G199">
            <v>79.3673646197267</v>
          </cell>
        </row>
      </sheetData>
    </sheetDataSet>
  </externalBook>
</externalLink>
</file>

<file path=xl/theme/theme1.xml><?xml version="1.0" encoding="utf-8"?>
<a:theme xmlns:a="http://schemas.openxmlformats.org/drawingml/2006/main" name="Office Theme">
  <a:themeElements>
    <a:clrScheme name="Present 2015b">
      <a:dk1>
        <a:srgbClr val="474747"/>
      </a:dk1>
      <a:lt1>
        <a:sysClr val="window" lastClr="FFFFFF"/>
      </a:lt1>
      <a:dk2>
        <a:srgbClr val="B7B7B7"/>
      </a:dk2>
      <a:lt2>
        <a:srgbClr val="437C9B"/>
      </a:lt2>
      <a:accent1>
        <a:srgbClr val="437C9B"/>
      </a:accent1>
      <a:accent2>
        <a:srgbClr val="74A6C2"/>
      </a:accent2>
      <a:accent3>
        <a:srgbClr val="B7B7B7"/>
      </a:accent3>
      <a:accent4>
        <a:srgbClr val="8A8A8A"/>
      </a:accent4>
      <a:accent5>
        <a:srgbClr val="474747"/>
      </a:accent5>
      <a:accent6>
        <a:srgbClr val="599397"/>
      </a:accent6>
      <a:hlink>
        <a:srgbClr val="437C9B"/>
      </a:hlink>
      <a:folHlink>
        <a:srgbClr val="7CACC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hyperlink" Target="https://www.duffandphelps.com/insights/publications/cost-of-capital/us-equity-risk-premium-recommendation-2017" TargetMode="External"/><Relationship Id="rId3" Type="http://schemas.openxmlformats.org/officeDocument/2006/relationships/hyperlink" Target="https://ca.finance.yahoo.com/quote/TRP.TO/key-statistics?p=TRP.TO" TargetMode="External"/><Relationship Id="rId7" Type="http://schemas.openxmlformats.org/officeDocument/2006/relationships/hyperlink" Target="https://ca.finance.yahoo.com/quote/ALA.TO/key-statistics?p=ALA.TO&amp;.tsrc=fin-srch" TargetMode="External"/><Relationship Id="rId2" Type="http://schemas.openxmlformats.org/officeDocument/2006/relationships/hyperlink" Target="https://ca.finance.yahoo.com/quote/PPL.TO/key-statistics?p=PPL.TO&amp;.tsrc=fin-srch" TargetMode="External"/><Relationship Id="rId1" Type="http://schemas.openxmlformats.org/officeDocument/2006/relationships/hyperlink" Target="https://ca.finance.yahoo.com/quote/ENB.TO/key-statistics?p=ENB.TO" TargetMode="External"/><Relationship Id="rId6" Type="http://schemas.openxmlformats.org/officeDocument/2006/relationships/hyperlink" Target="https://ca.finance.yahoo.com/quote/GEI.TO/key-statistics?p=GEI.TO&amp;.tsrc=fin-srch" TargetMode="External"/><Relationship Id="rId5" Type="http://schemas.openxmlformats.org/officeDocument/2006/relationships/hyperlink" Target="https://ca.finance.yahoo.com/quote/KEY.TO/key-statistics?p=KEY.TO&amp;.tsrc=fin-srch" TargetMode="External"/><Relationship Id="rId10" Type="http://schemas.openxmlformats.org/officeDocument/2006/relationships/printerSettings" Target="../printerSettings/printerSettings29.bin"/><Relationship Id="rId4" Type="http://schemas.openxmlformats.org/officeDocument/2006/relationships/hyperlink" Target="https://ca.finance.yahoo.com/quote/IPL.TO/key-statistics?p=IPL.TO&amp;.tsrc=fin-srch" TargetMode="External"/><Relationship Id="rId9" Type="http://schemas.openxmlformats.org/officeDocument/2006/relationships/hyperlink" Target="https://www.sec.gov/Archives/edgar/data/1506307/000150630718000010/kmi-2017x10k.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wnenergy.com/article/2018/8/construction-officially-underway-trans-mountain-pipeline-expansion/" TargetMode="External"/><Relationship Id="rId1" Type="http://schemas.openxmlformats.org/officeDocument/2006/relationships/hyperlink" Target="https://vancouversun.com/news/local-news/trans-mountain-ceo-says-pipeline-construction-could-restart-in-2019-on-neb-timeline"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www.duffandphelps.com/insights/publications/cost-of-capital/us-equity-risk-premium-recommendation-2017" TargetMode="External"/><Relationship Id="rId3" Type="http://schemas.openxmlformats.org/officeDocument/2006/relationships/hyperlink" Target="https://ca.finance.yahoo.com/quote/TRP.TO/key-statistics?p=TRP.TO" TargetMode="External"/><Relationship Id="rId7" Type="http://schemas.openxmlformats.org/officeDocument/2006/relationships/hyperlink" Target="https://ca.finance.yahoo.com/quote/ALA.TO/key-statistics?p=ALA.TO&amp;.tsrc=fin-srch" TargetMode="External"/><Relationship Id="rId2" Type="http://schemas.openxmlformats.org/officeDocument/2006/relationships/hyperlink" Target="https://ca.finance.yahoo.com/quote/PPL.TO/key-statistics?p=PPL.TO&amp;.tsrc=fin-srch" TargetMode="External"/><Relationship Id="rId1" Type="http://schemas.openxmlformats.org/officeDocument/2006/relationships/hyperlink" Target="https://ca.finance.yahoo.com/quote/ENB.TO/key-statistics?p=ENB.TO" TargetMode="External"/><Relationship Id="rId6" Type="http://schemas.openxmlformats.org/officeDocument/2006/relationships/hyperlink" Target="https://ca.finance.yahoo.com/quote/GEI.TO/key-statistics?p=GEI.TO&amp;.tsrc=fin-srch" TargetMode="External"/><Relationship Id="rId5" Type="http://schemas.openxmlformats.org/officeDocument/2006/relationships/hyperlink" Target="https://ca.finance.yahoo.com/quote/KEY.TO/key-statistics?p=KEY.TO&amp;.tsrc=fin-srch" TargetMode="External"/><Relationship Id="rId4" Type="http://schemas.openxmlformats.org/officeDocument/2006/relationships/hyperlink" Target="https://ca.finance.yahoo.com/quote/IPL.TO/key-statistics?p=IPL.TO&amp;.tsrc=fin-srch" TargetMode="External"/><Relationship Id="rId9" Type="http://schemas.openxmlformats.org/officeDocument/2006/relationships/hyperlink" Target="https://www.sec.gov/Archives/edgar/data/1506307/000150630718000010/kmi-2017x10k.htm" TargetMode="External"/></Relationships>
</file>

<file path=xl/worksheets/_rels/sheet3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8" Type="http://schemas.openxmlformats.org/officeDocument/2006/relationships/hyperlink" Target="https://www.sec.gov/Archives/edgar/data/1633651/000119312518193034/d606721d8k.htm" TargetMode="External"/><Relationship Id="rId13" Type="http://schemas.openxmlformats.org/officeDocument/2006/relationships/hyperlink" Target="https://www.sec.gov/Archives/edgar/data/1633651/000119312518193034/d606721d8k.htm" TargetMode="External"/><Relationship Id="rId18" Type="http://schemas.openxmlformats.org/officeDocument/2006/relationships/hyperlink" Target="http://www.annualreports.com/HostedData/AnnualReportArchive/o/NYSE_OKE_2015.pdf" TargetMode="External"/><Relationship Id="rId3" Type="http://schemas.openxmlformats.org/officeDocument/2006/relationships/hyperlink" Target="http://www.mplx.com/content/documents/mplx/investor_center/MPLX_2017_AR_10-K.pdf" TargetMode="External"/><Relationship Id="rId21" Type="http://schemas.openxmlformats.org/officeDocument/2006/relationships/hyperlink" Target="https://www.reuters.com/article/us-southernunion-energytransfer/ete-sweetens-southern-union-deal-to-5-billion-idUSTRE7641T420110705" TargetMode="External"/><Relationship Id="rId7" Type="http://schemas.openxmlformats.org/officeDocument/2006/relationships/hyperlink" Target="https://www.sec.gov/Archives/edgar/data/1633651/000119312518193034/d606721d8k.htm" TargetMode="External"/><Relationship Id="rId12" Type="http://schemas.openxmlformats.org/officeDocument/2006/relationships/hyperlink" Target="https://www.businesswire.com/news/home/20120820005469/en/Tallgrass-Energy-Partners-LP-Acquire-Significant-Midstream" TargetMode="External"/><Relationship Id="rId17" Type="http://schemas.openxmlformats.org/officeDocument/2006/relationships/hyperlink" Target="http://www.marketwired.com/press-release/enbridge-energy-partners-approves-alberta-clipper-pipeline-drop-down-acquisition-3-percent-nyse-eep-1979338.htm" TargetMode="External"/><Relationship Id="rId2" Type="http://schemas.openxmlformats.org/officeDocument/2006/relationships/hyperlink" Target="http://www.pembina.com/media-centre/news-releases/news-details/?nid=135375" TargetMode="External"/><Relationship Id="rId16" Type="http://schemas.openxmlformats.org/officeDocument/2006/relationships/hyperlink" Target="http://www.marketwired.com/press-release/enbridge-energy-partners-approves-alberta-clipper-pipeline-drop-down-acquisition-3-percent-nyse-eep-1979338.htm" TargetMode="External"/><Relationship Id="rId20" Type="http://schemas.openxmlformats.org/officeDocument/2006/relationships/hyperlink" Target="http://ir.energytransfer.com/phoenix.zhtml?c=106094&amp;p=irol-newsArticle&amp;ID=1586549" TargetMode="External"/><Relationship Id="rId1" Type="http://schemas.openxmlformats.org/officeDocument/2006/relationships/hyperlink" Target="https://www.megenergy.com/news-room/article/meg-energy-announces-sale-access-pipeline-and-stonefell-terminal-161-billion" TargetMode="External"/><Relationship Id="rId6" Type="http://schemas.openxmlformats.org/officeDocument/2006/relationships/hyperlink" Target="http://www.annualreports.com/HostedData/AnnualReportArchive/t/NYSE_TEGP_2016.pdf" TargetMode="External"/><Relationship Id="rId11" Type="http://schemas.openxmlformats.org/officeDocument/2006/relationships/hyperlink" Target="https://www.prnewswire.com/news-releases/spectra-energy-to-acquire-express-platte-pipeline-system-182956121.html" TargetMode="External"/><Relationship Id="rId24" Type="http://schemas.openxmlformats.org/officeDocument/2006/relationships/drawing" Target="../drawings/drawing3.xml"/><Relationship Id="rId5" Type="http://schemas.openxmlformats.org/officeDocument/2006/relationships/hyperlink" Target="https://www.sec.gov/Archives/edgar/data/1633651/000119312518193034/d606721d8k.htm" TargetMode="External"/><Relationship Id="rId15" Type="http://schemas.openxmlformats.org/officeDocument/2006/relationships/hyperlink" Target="https://www.reuters.com/article/us-net-midstream-m-a-nextera-partners/nextera-energy-to-buy-texas-pipeline-company-for-2-1-billion-idUSKCN0Q81FX20150803" TargetMode="External"/><Relationship Id="rId23" Type="http://schemas.openxmlformats.org/officeDocument/2006/relationships/printerSettings" Target="../printerSettings/printerSettings31.bin"/><Relationship Id="rId10" Type="http://schemas.openxmlformats.org/officeDocument/2006/relationships/hyperlink" Target="https://www.sec.gov/Archives/edgar/data/1633651/000119312518193034/d606721d8k.htm" TargetMode="External"/><Relationship Id="rId19" Type="http://schemas.openxmlformats.org/officeDocument/2006/relationships/hyperlink" Target="http://enlk.enlink.com/investor/investor-news/investor-news-details/2014/EnLink-Midstream-Signs-Definitive-Agreement-to-Acquire-Gulf-Coast-Natural-Gas-Pipeline-Systems/default.aspx" TargetMode="External"/><Relationship Id="rId4" Type="http://schemas.openxmlformats.org/officeDocument/2006/relationships/hyperlink" Target="https://www.nasdaq.com/article/kinder-morgan-southern-company-natural-gas-pipeline-deal-cm647177" TargetMode="External"/><Relationship Id="rId9" Type="http://schemas.openxmlformats.org/officeDocument/2006/relationships/hyperlink" Target="https://www.businesswire.com/news/home/20141106005447/en/Plains-American-Pipeline-L.P.-Enters-Agreement-Acquire" TargetMode="External"/><Relationship Id="rId14" Type="http://schemas.openxmlformats.org/officeDocument/2006/relationships/hyperlink" Target="https://www.newswire.ca/news-releases/wolf-midstream-inc-signs-agreement-to-acquire-50-interest-in-access-pipeline-in-alberta-for-14-billion-586777631.html" TargetMode="External"/><Relationship Id="rId22" Type="http://schemas.openxmlformats.org/officeDocument/2006/relationships/hyperlink" Target="http://www.pembina.com/Pembina/media/Pembina/Investor%20Centre/Presentations%20and%20Events/Pembina-Corporate-Update-(Veresen)-September-2017-v4.pdf"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403-CA26-4309-948F-B265FCC7101A}">
  <sheetPr codeName="Sheet4"/>
  <dimension ref="B8:D59"/>
  <sheetViews>
    <sheetView showGridLines="0" tabSelected="1" zoomScaleNormal="100" workbookViewId="0">
      <selection activeCell="B35" sqref="B35"/>
    </sheetView>
  </sheetViews>
  <sheetFormatPr defaultColWidth="9.140625" defaultRowHeight="12.75" x14ac:dyDescent="0.2"/>
  <cols>
    <col min="2" max="2" width="29.5703125" customWidth="1"/>
    <col min="3" max="3" width="52" customWidth="1"/>
    <col min="4" max="4" width="25.7109375" customWidth="1"/>
  </cols>
  <sheetData>
    <row r="8" spans="2:3" x14ac:dyDescent="0.2">
      <c r="B8" s="83" t="s">
        <v>194</v>
      </c>
    </row>
    <row r="10" spans="2:3" x14ac:dyDescent="0.2">
      <c r="B10" t="s">
        <v>195</v>
      </c>
    </row>
    <row r="12" spans="2:3" s="73" customFormat="1" x14ac:dyDescent="0.2">
      <c r="B12" s="83" t="s">
        <v>193</v>
      </c>
    </row>
    <row r="13" spans="2:3" s="73" customFormat="1" x14ac:dyDescent="0.2">
      <c r="B13" s="73" t="s">
        <v>202</v>
      </c>
      <c r="C13" s="73" t="s">
        <v>201</v>
      </c>
    </row>
    <row r="14" spans="2:3" s="73" customFormat="1" x14ac:dyDescent="0.2">
      <c r="B14" s="73" t="s">
        <v>190</v>
      </c>
      <c r="C14" s="73" t="s">
        <v>192</v>
      </c>
    </row>
    <row r="15" spans="2:3" s="73" customFormat="1" x14ac:dyDescent="0.2">
      <c r="B15" s="73" t="s">
        <v>191</v>
      </c>
      <c r="C15" s="73" t="s">
        <v>198</v>
      </c>
    </row>
    <row r="16" spans="2:3" s="73" customFormat="1" x14ac:dyDescent="0.2">
      <c r="B16" s="73" t="s">
        <v>200</v>
      </c>
      <c r="C16" s="73" t="s">
        <v>199</v>
      </c>
    </row>
    <row r="17" spans="2:4" s="73" customFormat="1" x14ac:dyDescent="0.2">
      <c r="B17" s="73" t="s">
        <v>204</v>
      </c>
      <c r="C17" s="73" t="s">
        <v>203</v>
      </c>
    </row>
    <row r="18" spans="2:4" s="73" customFormat="1" x14ac:dyDescent="0.2">
      <c r="B18" s="73" t="s">
        <v>206</v>
      </c>
      <c r="C18" s="73" t="s">
        <v>205</v>
      </c>
    </row>
    <row r="19" spans="2:4" s="73" customFormat="1" x14ac:dyDescent="0.2">
      <c r="B19" s="73" t="s">
        <v>197</v>
      </c>
      <c r="C19" s="73" t="s">
        <v>196</v>
      </c>
    </row>
    <row r="20" spans="2:4" s="73" customFormat="1" x14ac:dyDescent="0.2">
      <c r="B20" s="73" t="s">
        <v>135</v>
      </c>
      <c r="C20" s="73" t="s">
        <v>207</v>
      </c>
    </row>
    <row r="21" spans="2:4" s="73" customFormat="1" x14ac:dyDescent="0.2">
      <c r="B21" s="73" t="s">
        <v>134</v>
      </c>
      <c r="C21" s="73" t="s">
        <v>208</v>
      </c>
    </row>
    <row r="22" spans="2:4" s="73" customFormat="1" x14ac:dyDescent="0.2"/>
    <row r="23" spans="2:4" x14ac:dyDescent="0.2">
      <c r="B23" s="83" t="s">
        <v>239</v>
      </c>
      <c r="C23" s="83" t="s">
        <v>189</v>
      </c>
      <c r="D23" s="89" t="s">
        <v>53</v>
      </c>
    </row>
    <row r="24" spans="2:4" ht="25.5" x14ac:dyDescent="0.2">
      <c r="B24" s="84" t="s">
        <v>240</v>
      </c>
      <c r="C24" s="85" t="s">
        <v>209</v>
      </c>
      <c r="D24" s="84" t="s">
        <v>210</v>
      </c>
    </row>
    <row r="25" spans="2:4" ht="25.5" x14ac:dyDescent="0.2">
      <c r="B25" s="84" t="s">
        <v>213</v>
      </c>
      <c r="C25" s="85" t="s">
        <v>433</v>
      </c>
      <c r="D25" s="84" t="s">
        <v>214</v>
      </c>
    </row>
    <row r="26" spans="2:4" ht="25.5" x14ac:dyDescent="0.2">
      <c r="B26" s="84" t="s">
        <v>216</v>
      </c>
      <c r="C26" s="85" t="s">
        <v>215</v>
      </c>
      <c r="D26" s="84" t="s">
        <v>211</v>
      </c>
    </row>
    <row r="27" spans="2:4" ht="25.5" x14ac:dyDescent="0.2">
      <c r="B27" s="85" t="s">
        <v>481</v>
      </c>
      <c r="C27" s="85" t="s">
        <v>217</v>
      </c>
      <c r="D27" s="84" t="s">
        <v>211</v>
      </c>
    </row>
    <row r="28" spans="2:4" ht="25.5" x14ac:dyDescent="0.2">
      <c r="B28" s="85" t="s">
        <v>466</v>
      </c>
      <c r="C28" s="85" t="s">
        <v>218</v>
      </c>
      <c r="D28" s="84" t="s">
        <v>211</v>
      </c>
    </row>
    <row r="29" spans="2:4" ht="38.25" x14ac:dyDescent="0.2">
      <c r="B29" s="85" t="s">
        <v>467</v>
      </c>
      <c r="C29" s="85" t="s">
        <v>219</v>
      </c>
      <c r="D29" s="84" t="s">
        <v>211</v>
      </c>
    </row>
    <row r="30" spans="2:4" ht="25.5" x14ac:dyDescent="0.2">
      <c r="B30" s="85" t="s">
        <v>468</v>
      </c>
      <c r="C30" s="85" t="s">
        <v>220</v>
      </c>
      <c r="D30" s="84" t="s">
        <v>211</v>
      </c>
    </row>
    <row r="31" spans="2:4" ht="38.25" x14ac:dyDescent="0.2">
      <c r="B31" s="85" t="s">
        <v>469</v>
      </c>
      <c r="C31" s="85" t="s">
        <v>221</v>
      </c>
      <c r="D31" s="84" t="s">
        <v>211</v>
      </c>
    </row>
    <row r="32" spans="2:4" ht="38.25" x14ac:dyDescent="0.2">
      <c r="B32" s="85" t="s">
        <v>470</v>
      </c>
      <c r="C32" s="85" t="s">
        <v>222</v>
      </c>
      <c r="D32" s="84" t="s">
        <v>211</v>
      </c>
    </row>
    <row r="33" spans="2:4" ht="25.5" x14ac:dyDescent="0.2">
      <c r="B33" s="85" t="s">
        <v>471</v>
      </c>
      <c r="C33" s="85" t="s">
        <v>223</v>
      </c>
      <c r="D33" s="84" t="s">
        <v>211</v>
      </c>
    </row>
    <row r="34" spans="2:4" ht="25.5" x14ac:dyDescent="0.2">
      <c r="B34" s="85" t="s">
        <v>472</v>
      </c>
      <c r="C34" s="85" t="s">
        <v>224</v>
      </c>
      <c r="D34" s="84" t="s">
        <v>211</v>
      </c>
    </row>
    <row r="35" spans="2:4" ht="38.25" x14ac:dyDescent="0.2">
      <c r="B35" s="85" t="s">
        <v>473</v>
      </c>
      <c r="C35" s="85" t="s">
        <v>225</v>
      </c>
      <c r="D35" s="84" t="s">
        <v>211</v>
      </c>
    </row>
    <row r="36" spans="2:4" ht="25.5" x14ac:dyDescent="0.2">
      <c r="B36" s="85" t="s">
        <v>474</v>
      </c>
      <c r="C36" s="85" t="s">
        <v>226</v>
      </c>
      <c r="D36" s="84" t="s">
        <v>211</v>
      </c>
    </row>
    <row r="37" spans="2:4" ht="25.5" x14ac:dyDescent="0.2">
      <c r="B37" s="85" t="s">
        <v>475</v>
      </c>
      <c r="C37" s="85" t="s">
        <v>227</v>
      </c>
      <c r="D37" s="84" t="s">
        <v>211</v>
      </c>
    </row>
    <row r="38" spans="2:4" ht="38.25" x14ac:dyDescent="0.2">
      <c r="B38" s="85" t="s">
        <v>476</v>
      </c>
      <c r="C38" s="85" t="s">
        <v>228</v>
      </c>
      <c r="D38" s="84" t="s">
        <v>211</v>
      </c>
    </row>
    <row r="39" spans="2:4" s="73" customFormat="1" ht="38.25" x14ac:dyDescent="0.2">
      <c r="B39" s="85" t="s">
        <v>482</v>
      </c>
      <c r="C39" s="85" t="s">
        <v>494</v>
      </c>
      <c r="D39" s="84" t="s">
        <v>211</v>
      </c>
    </row>
    <row r="40" spans="2:4" s="73" customFormat="1" ht="38.25" x14ac:dyDescent="0.2">
      <c r="B40" s="85" t="s">
        <v>483</v>
      </c>
      <c r="C40" s="85" t="s">
        <v>495</v>
      </c>
      <c r="D40" s="84" t="s">
        <v>211</v>
      </c>
    </row>
    <row r="41" spans="2:4" s="73" customFormat="1" ht="38.25" x14ac:dyDescent="0.2">
      <c r="B41" s="85" t="s">
        <v>484</v>
      </c>
      <c r="C41" s="85" t="s">
        <v>496</v>
      </c>
      <c r="D41" s="84" t="s">
        <v>211</v>
      </c>
    </row>
    <row r="42" spans="2:4" s="73" customFormat="1" ht="38.25" x14ac:dyDescent="0.2">
      <c r="B42" s="85" t="s">
        <v>485</v>
      </c>
      <c r="C42" s="85" t="s">
        <v>497</v>
      </c>
      <c r="D42" s="84" t="s">
        <v>211</v>
      </c>
    </row>
    <row r="43" spans="2:4" s="73" customFormat="1" ht="38.25" x14ac:dyDescent="0.2">
      <c r="B43" s="85" t="s">
        <v>486</v>
      </c>
      <c r="C43" s="85" t="s">
        <v>498</v>
      </c>
      <c r="D43" s="84" t="s">
        <v>211</v>
      </c>
    </row>
    <row r="44" spans="2:4" s="73" customFormat="1" ht="38.25" x14ac:dyDescent="0.2">
      <c r="B44" s="85" t="s">
        <v>487</v>
      </c>
      <c r="C44" s="85" t="s">
        <v>499</v>
      </c>
      <c r="D44" s="84" t="s">
        <v>211</v>
      </c>
    </row>
    <row r="45" spans="2:4" s="73" customFormat="1" ht="38.25" x14ac:dyDescent="0.2">
      <c r="B45" s="85" t="s">
        <v>488</v>
      </c>
      <c r="C45" s="85" t="s">
        <v>500</v>
      </c>
      <c r="D45" s="84" t="s">
        <v>211</v>
      </c>
    </row>
    <row r="46" spans="2:4" s="73" customFormat="1" ht="38.25" x14ac:dyDescent="0.2">
      <c r="B46" s="85" t="s">
        <v>489</v>
      </c>
      <c r="C46" s="85" t="s">
        <v>501</v>
      </c>
      <c r="D46" s="84" t="s">
        <v>211</v>
      </c>
    </row>
    <row r="47" spans="2:4" s="73" customFormat="1" ht="38.25" x14ac:dyDescent="0.2">
      <c r="B47" s="85" t="s">
        <v>490</v>
      </c>
      <c r="C47" s="85" t="s">
        <v>502</v>
      </c>
      <c r="D47" s="84" t="s">
        <v>211</v>
      </c>
    </row>
    <row r="48" spans="2:4" s="73" customFormat="1" ht="38.25" x14ac:dyDescent="0.2">
      <c r="B48" s="85" t="s">
        <v>491</v>
      </c>
      <c r="C48" s="85" t="s">
        <v>503</v>
      </c>
      <c r="D48" s="84" t="s">
        <v>211</v>
      </c>
    </row>
    <row r="49" spans="2:4" s="73" customFormat="1" ht="38.25" x14ac:dyDescent="0.2">
      <c r="B49" s="85" t="s">
        <v>492</v>
      </c>
      <c r="C49" s="85" t="s">
        <v>504</v>
      </c>
      <c r="D49" s="84" t="s">
        <v>211</v>
      </c>
    </row>
    <row r="50" spans="2:4" s="73" customFormat="1" ht="38.25" x14ac:dyDescent="0.2">
      <c r="B50" s="85" t="s">
        <v>493</v>
      </c>
      <c r="C50" s="85" t="s">
        <v>505</v>
      </c>
      <c r="D50" s="84" t="s">
        <v>211</v>
      </c>
    </row>
    <row r="51" spans="2:4" ht="26.25" customHeight="1" x14ac:dyDescent="0.2">
      <c r="B51" s="85" t="s">
        <v>229</v>
      </c>
      <c r="C51" s="85" t="s">
        <v>435</v>
      </c>
      <c r="D51" s="84" t="s">
        <v>212</v>
      </c>
    </row>
    <row r="52" spans="2:4" ht="26.25" customHeight="1" x14ac:dyDescent="0.2">
      <c r="B52" s="85" t="s">
        <v>478</v>
      </c>
      <c r="C52" s="85" t="s">
        <v>436</v>
      </c>
      <c r="D52" s="84" t="s">
        <v>212</v>
      </c>
    </row>
    <row r="53" spans="2:4" ht="25.5" x14ac:dyDescent="0.2">
      <c r="B53" s="85" t="s">
        <v>479</v>
      </c>
      <c r="C53" s="85" t="s">
        <v>230</v>
      </c>
      <c r="D53" s="84" t="s">
        <v>202</v>
      </c>
    </row>
    <row r="54" spans="2:4" ht="25.5" x14ac:dyDescent="0.2">
      <c r="B54" s="85" t="s">
        <v>480</v>
      </c>
      <c r="C54" s="85" t="s">
        <v>231</v>
      </c>
      <c r="D54" s="84" t="s">
        <v>202</v>
      </c>
    </row>
    <row r="55" spans="2:4" ht="39.75" customHeight="1" x14ac:dyDescent="0.2">
      <c r="B55" s="85" t="s">
        <v>409</v>
      </c>
      <c r="C55" s="85" t="s">
        <v>232</v>
      </c>
      <c r="D55" s="84" t="s">
        <v>434</v>
      </c>
    </row>
    <row r="56" spans="2:4" x14ac:dyDescent="0.2">
      <c r="B56" s="74" t="s">
        <v>233</v>
      </c>
      <c r="C56" s="74" t="s">
        <v>234</v>
      </c>
      <c r="D56" s="90" t="s">
        <v>6</v>
      </c>
    </row>
    <row r="57" spans="2:4" ht="25.5" x14ac:dyDescent="0.2">
      <c r="B57" s="85" t="s">
        <v>238</v>
      </c>
      <c r="C57" s="85" t="s">
        <v>237</v>
      </c>
      <c r="D57" s="84" t="s">
        <v>200</v>
      </c>
    </row>
    <row r="58" spans="2:4" ht="25.5" x14ac:dyDescent="0.2">
      <c r="B58" s="85" t="s">
        <v>414</v>
      </c>
      <c r="C58" s="85" t="s">
        <v>415</v>
      </c>
      <c r="D58" s="84" t="s">
        <v>200</v>
      </c>
    </row>
    <row r="59" spans="2:4" ht="25.5" x14ac:dyDescent="0.2">
      <c r="B59" s="85" t="s">
        <v>235</v>
      </c>
      <c r="C59" s="85" t="s">
        <v>236</v>
      </c>
      <c r="D59" s="84" t="s">
        <v>190</v>
      </c>
    </row>
  </sheetData>
  <sortState ref="B13:C21">
    <sortCondition ref="B13"/>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D35E5-1BE6-4F9E-8B1F-3237F08C400D}">
  <sheetPr codeName="Sheet13"/>
  <dimension ref="C2:AT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+SUM(E24:AT24)</f>
        <v>1127.5564555944995</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-266.44354440550046</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s="73" customFormat="1" x14ac:dyDescent="0.2">
      <c r="C19" s="81" t="s">
        <v>308</v>
      </c>
      <c r="E19" s="77">
        <f>1.076*726</f>
        <v>781.17600000000004</v>
      </c>
      <c r="F19" s="77">
        <f>1.076*1802</f>
        <v>1938.9520000000002</v>
      </c>
      <c r="G19" s="77">
        <f>1.076*3075</f>
        <v>3308.7000000000003</v>
      </c>
      <c r="H19" s="77">
        <f>1.076*1377</f>
        <v>1481.652</v>
      </c>
      <c r="I19" s="77">
        <f>1.076*37</f>
        <v>39.812000000000005</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s="73" customFormat="1" x14ac:dyDescent="0.2">
      <c r="C20" s="81" t="s">
        <v>315</v>
      </c>
      <c r="E20" s="77">
        <v>1</v>
      </c>
      <c r="F20" s="77">
        <v>6</v>
      </c>
      <c r="G20" s="77">
        <v>9</v>
      </c>
      <c r="H20" s="77">
        <v>12</v>
      </c>
      <c r="I20" s="77">
        <v>974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-780.17600000000004</v>
      </c>
      <c r="F21" s="75">
        <f t="shared" ref="F21:I21" si="2">F20-F19</f>
        <v>-1932.9520000000002</v>
      </c>
      <c r="G21" s="75">
        <f t="shared" si="2"/>
        <v>-3299.7000000000003</v>
      </c>
      <c r="H21" s="75">
        <f t="shared" si="2"/>
        <v>-1469.652</v>
      </c>
      <c r="I21" s="75">
        <f t="shared" si="2"/>
        <v>934.18799999999999</v>
      </c>
      <c r="J21" s="7">
        <v>1074</v>
      </c>
      <c r="K21" s="7">
        <v>993</v>
      </c>
      <c r="L21" s="7">
        <v>1003</v>
      </c>
      <c r="M21" s="10">
        <f>+L21-(($L$21-$Q$21)/($Q$18-$L$18))</f>
        <v>1016</v>
      </c>
      <c r="N21" s="10">
        <f>+M21-(($L$21-$Q$21)/($Q$18-$L$18))</f>
        <v>1029</v>
      </c>
      <c r="O21" s="10">
        <f>+N21-(($L$21-$Q$21)/($Q$18-$L$18))</f>
        <v>1042</v>
      </c>
      <c r="P21" s="10">
        <f>+O21-(($L$21-$Q$21)/($Q$18-$L$18))</f>
        <v>1055</v>
      </c>
      <c r="Q21" s="7">
        <v>1068</v>
      </c>
      <c r="R21" s="10">
        <f t="shared" ref="R21:Z21" si="3">+Q21-(($Q$21-$AA$21)/($AA$18-$Q$18))</f>
        <v>1095.2</v>
      </c>
      <c r="S21" s="10">
        <f t="shared" si="3"/>
        <v>1122.4000000000001</v>
      </c>
      <c r="T21" s="10">
        <f t="shared" si="3"/>
        <v>1149.6000000000001</v>
      </c>
      <c r="U21" s="10">
        <f t="shared" si="3"/>
        <v>1176.8000000000002</v>
      </c>
      <c r="V21" s="10">
        <f t="shared" si="3"/>
        <v>1204.0000000000002</v>
      </c>
      <c r="W21" s="10">
        <f t="shared" si="3"/>
        <v>1231.2000000000003</v>
      </c>
      <c r="X21" s="10">
        <f t="shared" si="3"/>
        <v>1258.4000000000003</v>
      </c>
      <c r="Y21" s="10">
        <f t="shared" si="3"/>
        <v>1285.6000000000004</v>
      </c>
      <c r="Z21" s="10">
        <f t="shared" si="3"/>
        <v>1312.8000000000004</v>
      </c>
      <c r="AA21" s="7">
        <v>1340</v>
      </c>
      <c r="AB21" s="10">
        <f t="shared" ref="AB21:AJ21" si="4">+AA21-(($AA$21-$AK$21)/($AK$18-$AA$18))</f>
        <v>1247.7</v>
      </c>
      <c r="AC21" s="10">
        <f t="shared" si="4"/>
        <v>1155.4000000000001</v>
      </c>
      <c r="AD21" s="10">
        <f t="shared" si="4"/>
        <v>1063.1000000000001</v>
      </c>
      <c r="AE21" s="10">
        <f t="shared" si="4"/>
        <v>970.80000000000018</v>
      </c>
      <c r="AF21" s="10">
        <f t="shared" si="4"/>
        <v>878.50000000000023</v>
      </c>
      <c r="AG21" s="10">
        <f t="shared" si="4"/>
        <v>786.20000000000027</v>
      </c>
      <c r="AH21" s="10">
        <f t="shared" si="4"/>
        <v>693.90000000000032</v>
      </c>
      <c r="AI21" s="10">
        <f t="shared" si="4"/>
        <v>601.60000000000036</v>
      </c>
      <c r="AJ21" s="10">
        <f t="shared" si="4"/>
        <v>509.30000000000035</v>
      </c>
      <c r="AK21" s="7">
        <v>417</v>
      </c>
      <c r="AL21" s="10">
        <f t="shared" ref="AL21:AS21" si="5">+AK21-(($AK$21-$AT$21)/($AT$18-$AK$18))</f>
        <v>379.44444444444446</v>
      </c>
      <c r="AM21" s="10">
        <f t="shared" si="5"/>
        <v>341.88888888888891</v>
      </c>
      <c r="AN21" s="10">
        <f t="shared" si="5"/>
        <v>304.33333333333337</v>
      </c>
      <c r="AO21" s="10">
        <f t="shared" si="5"/>
        <v>266.77777777777783</v>
      </c>
      <c r="AP21" s="10">
        <f t="shared" si="5"/>
        <v>229.22222222222229</v>
      </c>
      <c r="AQ21" s="10">
        <f t="shared" si="5"/>
        <v>191.66666666666674</v>
      </c>
      <c r="AR21" s="10">
        <f t="shared" si="5"/>
        <v>154.1111111111112</v>
      </c>
      <c r="AS21" s="10">
        <f t="shared" si="5"/>
        <v>116.55555555555564</v>
      </c>
      <c r="AT21" s="7">
        <v>79</v>
      </c>
    </row>
    <row r="22" spans="3:46" x14ac:dyDescent="0.2">
      <c r="C22" s="11" t="s">
        <v>311</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row>
    <row r="23" spans="3:46" s="5" customFormat="1" x14ac:dyDescent="0.2">
      <c r="C23" s="12" t="str">
        <f>+CONCATENATE("Facteur d'escompte @ ",E10*100,"%")</f>
        <v>Facteur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 t="shared" ref="E24:AT24" si="7">+SUM(E21,E22)*E23</f>
        <v>-780.17600000000004</v>
      </c>
      <c r="F24" s="22">
        <f t="shared" si="7"/>
        <v>-1757.2290909090912</v>
      </c>
      <c r="G24" s="22">
        <f t="shared" si="7"/>
        <v>-2727.0247933884298</v>
      </c>
      <c r="H24" s="22">
        <f t="shared" si="7"/>
        <v>-1104.1712997746054</v>
      </c>
      <c r="I24" s="22">
        <f t="shared" si="7"/>
        <v>638.0629738405845</v>
      </c>
      <c r="J24" s="22">
        <f t="shared" si="7"/>
        <v>666.86950096553244</v>
      </c>
      <c r="K24" s="22">
        <f t="shared" si="7"/>
        <v>560.52261254340078</v>
      </c>
      <c r="L24" s="22">
        <f t="shared" si="7"/>
        <v>514.69759258539852</v>
      </c>
      <c r="M24" s="22">
        <f t="shared" si="7"/>
        <v>473.97149829308887</v>
      </c>
      <c r="N24" s="22">
        <f t="shared" si="7"/>
        <v>436.39644930528669</v>
      </c>
      <c r="O24" s="22">
        <f t="shared" si="7"/>
        <v>401.7361075855718</v>
      </c>
      <c r="P24" s="22">
        <f t="shared" si="7"/>
        <v>369.77106395286876</v>
      </c>
      <c r="Q24" s="22">
        <f t="shared" si="7"/>
        <v>340.29771331466083</v>
      </c>
      <c r="R24" s="22">
        <f t="shared" si="7"/>
        <v>317.24042868762047</v>
      </c>
      <c r="S24" s="22">
        <f t="shared" si="7"/>
        <v>295.56299983314392</v>
      </c>
      <c r="T24" s="22">
        <f t="shared" si="7"/>
        <v>275.20509995479028</v>
      </c>
      <c r="U24" s="22">
        <f t="shared" si="7"/>
        <v>256.10596699784685</v>
      </c>
      <c r="V24" s="22">
        <f t="shared" si="7"/>
        <v>238.20498135576261</v>
      </c>
      <c r="W24" s="22">
        <f t="shared" si="7"/>
        <v>221.44214213622388</v>
      </c>
      <c r="X24" s="22">
        <f t="shared" si="7"/>
        <v>205.7584556561404</v>
      </c>
      <c r="Y24" s="22">
        <f t="shared" si="7"/>
        <v>191.09624818783894</v>
      </c>
      <c r="Z24" s="22">
        <f t="shared" si="7"/>
        <v>177.39941351826874</v>
      </c>
      <c r="AA24" s="22">
        <f t="shared" si="7"/>
        <v>164.61360458872085</v>
      </c>
      <c r="AB24" s="22">
        <f t="shared" si="7"/>
        <v>139.34083747988262</v>
      </c>
      <c r="AC24" s="22">
        <f t="shared" si="7"/>
        <v>117.30267592315782</v>
      </c>
      <c r="AD24" s="22">
        <f t="shared" si="7"/>
        <v>98.119875662036804</v>
      </c>
      <c r="AE24" s="22">
        <f t="shared" si="7"/>
        <v>81.455413663903443</v>
      </c>
      <c r="AF24" s="22">
        <f t="shared" si="7"/>
        <v>67.00994578392627</v>
      </c>
      <c r="AG24" s="22">
        <f t="shared" si="7"/>
        <v>54.517741372507714</v>
      </c>
      <c r="AH24" s="22">
        <f t="shared" si="7"/>
        <v>43.743045649248522</v>
      </c>
      <c r="AI24" s="22">
        <f t="shared" si="7"/>
        <v>34.476825665982666</v>
      </c>
      <c r="AJ24" s="22">
        <f t="shared" si="7"/>
        <v>26.533860178440786</v>
      </c>
      <c r="AK24" s="22">
        <f t="shared" si="7"/>
        <v>19.750137790567798</v>
      </c>
      <c r="AL24" s="22">
        <f t="shared" si="7"/>
        <v>16.337650014482726</v>
      </c>
      <c r="AM24" s="22">
        <f t="shared" si="7"/>
        <v>13.382390282061321</v>
      </c>
      <c r="AN24" s="22">
        <f t="shared" si="7"/>
        <v>10.829428600043119</v>
      </c>
      <c r="AO24" s="22">
        <f t="shared" si="7"/>
        <v>8.6300435025070659</v>
      </c>
      <c r="AP24" s="22">
        <f t="shared" si="7"/>
        <v>6.741047194605307</v>
      </c>
      <c r="AQ24" s="22">
        <f t="shared" si="7"/>
        <v>5.1241820872930655</v>
      </c>
      <c r="AR24" s="22">
        <f t="shared" si="7"/>
        <v>3.7455813201978825</v>
      </c>
      <c r="AS24" s="22">
        <f t="shared" si="7"/>
        <v>2.575286625737419</v>
      </c>
      <c r="AT24" s="22">
        <f t="shared" si="7"/>
        <v>1.5868175672929223</v>
      </c>
    </row>
    <row r="25" spans="3:46" s="5" customFormat="1" x14ac:dyDescent="0.2">
      <c r="C25" s="12" t="s">
        <v>313</v>
      </c>
      <c r="E25" s="24">
        <f>+SUM($E$24:E24)</f>
        <v>-780.17600000000004</v>
      </c>
      <c r="F25" s="24">
        <f>+SUM($E$24:F24)</f>
        <v>-2537.4050909090911</v>
      </c>
      <c r="G25" s="24">
        <f>+SUM($E$24:G24)</f>
        <v>-5264.4298842975204</v>
      </c>
      <c r="H25" s="24">
        <f>+SUM($E$24:H24)</f>
        <v>-6368.6011840721258</v>
      </c>
      <c r="I25" s="24">
        <f>+SUM($E$24:I24)</f>
        <v>-5730.5382102315416</v>
      </c>
      <c r="J25" s="24">
        <f>+SUM($E$24:J24)</f>
        <v>-5063.6687092660095</v>
      </c>
      <c r="K25" s="24">
        <f>+SUM($E$24:K24)</f>
        <v>-4503.1460967226085</v>
      </c>
      <c r="L25" s="24">
        <f>+SUM($E$24:L24)</f>
        <v>-3988.44850413721</v>
      </c>
      <c r="M25" s="24">
        <f>+SUM($E$24:M24)</f>
        <v>-3514.4770058441209</v>
      </c>
      <c r="N25" s="24">
        <f>+SUM($E$24:N24)</f>
        <v>-3078.0805565388341</v>
      </c>
      <c r="O25" s="24">
        <f>+SUM($E$24:O24)</f>
        <v>-2676.3444489532621</v>
      </c>
      <c r="P25" s="24">
        <f>+SUM($E$24:P24)</f>
        <v>-2306.5733850003935</v>
      </c>
      <c r="Q25" s="24">
        <f>+SUM($E$24:Q24)</f>
        <v>-1966.2756716857327</v>
      </c>
      <c r="R25" s="24">
        <f>+SUM($E$24:R24)</f>
        <v>-1649.0352429981122</v>
      </c>
      <c r="S25" s="24">
        <f>+SUM($E$24:S24)</f>
        <v>-1353.4722431649682</v>
      </c>
      <c r="T25" s="24">
        <f>+SUM($E$24:T24)</f>
        <v>-1078.2671432101779</v>
      </c>
      <c r="U25" s="24">
        <f>+SUM($E$24:U24)</f>
        <v>-822.16117621233104</v>
      </c>
      <c r="V25" s="24">
        <f>+SUM($E$24:V24)</f>
        <v>-583.95619485656846</v>
      </c>
      <c r="W25" s="24">
        <f>+SUM($E$24:W24)</f>
        <v>-362.51405272034458</v>
      </c>
      <c r="X25" s="24">
        <f>+SUM($E$24:X24)</f>
        <v>-156.75559706420418</v>
      </c>
      <c r="Y25" s="24">
        <f>+SUM($E$24:Y24)</f>
        <v>34.340651123634757</v>
      </c>
      <c r="Z25" s="24">
        <f>+SUM($E$24:Z24)</f>
        <v>211.7400646419035</v>
      </c>
      <c r="AA25" s="24">
        <f>+SUM($E$24:AA24)</f>
        <v>376.35366923062435</v>
      </c>
      <c r="AB25" s="24">
        <f>+SUM($E$24:AB24)</f>
        <v>515.69450671050697</v>
      </c>
      <c r="AC25" s="24">
        <f>+SUM($E$24:AC24)</f>
        <v>632.99718263366481</v>
      </c>
      <c r="AD25" s="24">
        <f>+SUM($E$24:AD24)</f>
        <v>731.11705829570155</v>
      </c>
      <c r="AE25" s="24">
        <f>+SUM($E$24:AE24)</f>
        <v>812.57247195960497</v>
      </c>
      <c r="AF25" s="24">
        <f>+SUM($E$24:AF24)</f>
        <v>879.58241774353121</v>
      </c>
      <c r="AG25" s="24">
        <f>+SUM($E$24:AG24)</f>
        <v>934.10015911603887</v>
      </c>
      <c r="AH25" s="24">
        <f>+SUM($E$24:AH24)</f>
        <v>977.8432047652874</v>
      </c>
      <c r="AI25" s="24">
        <f>+SUM($E$24:AI24)</f>
        <v>1012.3200304312701</v>
      </c>
      <c r="AJ25" s="24">
        <f>+SUM($E$24:AJ24)</f>
        <v>1038.8538906097108</v>
      </c>
      <c r="AK25" s="24">
        <f>+SUM($E$24:AK24)</f>
        <v>1058.6040284002786</v>
      </c>
      <c r="AL25" s="24">
        <f>+SUM($E$24:AL24)</f>
        <v>1074.9416784147613</v>
      </c>
      <c r="AM25" s="24">
        <f>+SUM($E$24:AM24)</f>
        <v>1088.3240686968227</v>
      </c>
      <c r="AN25" s="24">
        <f>+SUM($E$24:AN24)</f>
        <v>1099.1534972968659</v>
      </c>
      <c r="AO25" s="24">
        <f>+SUM($E$24:AO24)</f>
        <v>1107.783540799373</v>
      </c>
      <c r="AP25" s="24">
        <f>+SUM($E$24:AP24)</f>
        <v>1114.5245879939782</v>
      </c>
      <c r="AQ25" s="24">
        <f>+SUM($E$24:AQ24)</f>
        <v>1119.6487700812713</v>
      </c>
      <c r="AR25" s="24">
        <f>+SUM($E$24:AR24)</f>
        <v>1123.3943514014693</v>
      </c>
      <c r="AS25" s="24">
        <f>+SUM($E$24:AS24)</f>
        <v>1125.9696380272067</v>
      </c>
      <c r="AT25" s="24">
        <f>+SUM($E$24:AT24)</f>
        <v>1127.5564555944995</v>
      </c>
    </row>
  </sheetData>
  <pageMargins left="0.7" right="0.7" top="0.75" bottom="0.75" header="0.3" footer="0.3"/>
  <pageSetup scale="30"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5ED9-CFDC-47AD-9759-9DA34FBD6BA8}">
  <sheetPr codeName="Sheet16"/>
  <dimension ref="C2:AU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5" bestFit="1"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+SUM(E24:AU24)</f>
        <v>1340.4513856935544</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-53.548614306445643</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7" x14ac:dyDescent="0.2">
      <c r="E17" s="1"/>
      <c r="F17" s="1"/>
      <c r="G17" s="1"/>
      <c r="H17" s="1"/>
      <c r="I17" s="1"/>
      <c r="J17" s="1"/>
      <c r="K17" s="1"/>
      <c r="L17" s="1"/>
      <c r="M17" s="1"/>
      <c r="N17" s="1"/>
      <c r="O17" s="1"/>
      <c r="P17" s="1"/>
    </row>
    <row r="18" spans="3:47"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row>
    <row r="19" spans="3:47" s="73" customFormat="1" x14ac:dyDescent="0.2">
      <c r="C19" s="81" t="s">
        <v>308</v>
      </c>
      <c r="E19" s="77">
        <f>0.924*726</f>
        <v>670.82400000000007</v>
      </c>
      <c r="F19" s="77">
        <f>0.924*1802</f>
        <v>1665.048</v>
      </c>
      <c r="G19" s="77">
        <f>0.924*3075</f>
        <v>2841.3</v>
      </c>
      <c r="H19" s="77">
        <f>0.924*1377</f>
        <v>1272.348</v>
      </c>
      <c r="I19" s="77">
        <f>0.924*37</f>
        <v>34.188000000000002</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row>
    <row r="20" spans="3:47" s="73" customFormat="1" x14ac:dyDescent="0.2">
      <c r="C20" s="81" t="s">
        <v>315</v>
      </c>
      <c r="E20" s="77">
        <v>1</v>
      </c>
      <c r="F20" s="77">
        <v>6</v>
      </c>
      <c r="G20" s="77">
        <v>9</v>
      </c>
      <c r="H20" s="77">
        <v>12</v>
      </c>
      <c r="I20" s="77">
        <v>15</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row>
    <row r="21" spans="3:47" x14ac:dyDescent="0.2">
      <c r="C21" s="11" t="s">
        <v>312</v>
      </c>
      <c r="E21" s="75">
        <f>E20-E19</f>
        <v>-669.82400000000007</v>
      </c>
      <c r="F21" s="75">
        <f t="shared" ref="F21:I21" si="2">F20-F19</f>
        <v>-1659.048</v>
      </c>
      <c r="G21" s="75">
        <f t="shared" si="2"/>
        <v>-2832.3</v>
      </c>
      <c r="H21" s="75">
        <f t="shared" si="2"/>
        <v>-1260.348</v>
      </c>
      <c r="I21" s="75">
        <f t="shared" si="2"/>
        <v>-19.188000000000002</v>
      </c>
      <c r="J21" s="7">
        <v>936</v>
      </c>
      <c r="K21" s="7">
        <v>1074</v>
      </c>
      <c r="L21" s="7">
        <v>993</v>
      </c>
      <c r="M21" s="7">
        <v>1003</v>
      </c>
      <c r="N21" s="10">
        <f>+M21-(($M$21-$R$21)/($R$18-$M$18))</f>
        <v>1016</v>
      </c>
      <c r="O21" s="10">
        <f>+N21-(($M$21-$R$21)/($R$18-$M$18))</f>
        <v>1029</v>
      </c>
      <c r="P21" s="10">
        <f>+O21-(($M$21-$R$21)/($R$18-$M$18))</f>
        <v>1042</v>
      </c>
      <c r="Q21" s="10">
        <f>+P21-(($M$21-$R$21)/($R$18-$M$18))</f>
        <v>1055</v>
      </c>
      <c r="R21" s="7">
        <v>1068</v>
      </c>
      <c r="S21" s="10">
        <f t="shared" ref="S21:AA21" si="3">+R21-(($R$21-$AB$21)/($AB$18-$R$18))</f>
        <v>1095.2</v>
      </c>
      <c r="T21" s="10">
        <f t="shared" si="3"/>
        <v>1122.4000000000001</v>
      </c>
      <c r="U21" s="10">
        <f t="shared" si="3"/>
        <v>1149.6000000000001</v>
      </c>
      <c r="V21" s="10">
        <f t="shared" si="3"/>
        <v>1176.8000000000002</v>
      </c>
      <c r="W21" s="10">
        <f t="shared" si="3"/>
        <v>1204.0000000000002</v>
      </c>
      <c r="X21" s="10">
        <f t="shared" si="3"/>
        <v>1231.2000000000003</v>
      </c>
      <c r="Y21" s="10">
        <f t="shared" si="3"/>
        <v>1258.4000000000003</v>
      </c>
      <c r="Z21" s="10">
        <f t="shared" si="3"/>
        <v>1285.6000000000004</v>
      </c>
      <c r="AA21" s="10">
        <f t="shared" si="3"/>
        <v>1312.8000000000004</v>
      </c>
      <c r="AB21" s="7">
        <v>1340</v>
      </c>
      <c r="AC21" s="10">
        <f t="shared" ref="AC21:AK21" si="4">+AB21-(($AB$21-$AL$21)/($AL$18-$AB$18))</f>
        <v>1247.7</v>
      </c>
      <c r="AD21" s="10">
        <f t="shared" si="4"/>
        <v>1155.4000000000001</v>
      </c>
      <c r="AE21" s="10">
        <f t="shared" si="4"/>
        <v>1063.1000000000001</v>
      </c>
      <c r="AF21" s="10">
        <f t="shared" si="4"/>
        <v>970.80000000000018</v>
      </c>
      <c r="AG21" s="10">
        <f t="shared" si="4"/>
        <v>878.50000000000023</v>
      </c>
      <c r="AH21" s="10">
        <f t="shared" si="4"/>
        <v>786.20000000000027</v>
      </c>
      <c r="AI21" s="10">
        <f t="shared" si="4"/>
        <v>693.90000000000032</v>
      </c>
      <c r="AJ21" s="10">
        <f t="shared" si="4"/>
        <v>601.60000000000036</v>
      </c>
      <c r="AK21" s="10">
        <f t="shared" si="4"/>
        <v>509.30000000000035</v>
      </c>
      <c r="AL21" s="7">
        <v>417</v>
      </c>
      <c r="AM21" s="10">
        <f t="shared" ref="AM21:AT21" si="5">+AL21-(($AL$21-$AU$21)/($AU$18-$AK$18))</f>
        <v>383.2</v>
      </c>
      <c r="AN21" s="10">
        <f t="shared" si="5"/>
        <v>349.4</v>
      </c>
      <c r="AO21" s="10">
        <f t="shared" si="5"/>
        <v>315.59999999999997</v>
      </c>
      <c r="AP21" s="10">
        <f t="shared" si="5"/>
        <v>281.79999999999995</v>
      </c>
      <c r="AQ21" s="10">
        <f t="shared" si="5"/>
        <v>247.99999999999994</v>
      </c>
      <c r="AR21" s="10">
        <f t="shared" si="5"/>
        <v>214.19999999999993</v>
      </c>
      <c r="AS21" s="10">
        <f t="shared" si="5"/>
        <v>180.39999999999992</v>
      </c>
      <c r="AT21" s="10">
        <f t="shared" si="5"/>
        <v>146.59999999999991</v>
      </c>
      <c r="AU21" s="7">
        <v>79</v>
      </c>
    </row>
    <row r="22" spans="3:47" x14ac:dyDescent="0.2">
      <c r="C22" s="11" t="s">
        <v>311</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c r="AU22" s="7">
        <v>0</v>
      </c>
    </row>
    <row r="23" spans="3:47" s="5" customFormat="1" x14ac:dyDescent="0.2">
      <c r="C23" s="12" t="str">
        <f>+CONCATENATE("Facteur d'escompte @ ",E10*100,"%")</f>
        <v>Facteur d'escompte @ 10%</v>
      </c>
      <c r="E23" s="6">
        <f t="shared" ref="E23:AU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1.8260271200148705E-2</v>
      </c>
    </row>
    <row r="24" spans="3:47" x14ac:dyDescent="0.2">
      <c r="C24" s="20" t="s">
        <v>303</v>
      </c>
      <c r="D24" s="21"/>
      <c r="E24" s="22">
        <f>+SUM(E21, E22)*E23</f>
        <v>-669.82400000000007</v>
      </c>
      <c r="F24" s="22">
        <f t="shared" ref="F24:AU24" si="7">+SUM(F21, F22)*F23</f>
        <v>-1508.2254545454546</v>
      </c>
      <c r="G24" s="22">
        <f t="shared" si="7"/>
        <v>-2340.7438016528927</v>
      </c>
      <c r="H24" s="22">
        <f t="shared" si="7"/>
        <v>-946.91810668670144</v>
      </c>
      <c r="I24" s="22">
        <f t="shared" si="7"/>
        <v>-13.105662181544975</v>
      </c>
      <c r="J24" s="22">
        <f t="shared" si="7"/>
        <v>581.18235838336898</v>
      </c>
      <c r="K24" s="22">
        <f t="shared" si="7"/>
        <v>606.24500087775675</v>
      </c>
      <c r="L24" s="22">
        <f t="shared" si="7"/>
        <v>509.56601140309152</v>
      </c>
      <c r="M24" s="22">
        <f t="shared" si="7"/>
        <v>467.90690235036237</v>
      </c>
      <c r="N24" s="22">
        <f t="shared" si="7"/>
        <v>430.88318026644441</v>
      </c>
      <c r="O24" s="22">
        <f t="shared" si="7"/>
        <v>396.72404482298788</v>
      </c>
      <c r="P24" s="22">
        <f t="shared" si="7"/>
        <v>365.21464325961068</v>
      </c>
      <c r="Q24" s="22">
        <f t="shared" si="7"/>
        <v>336.15551268442618</v>
      </c>
      <c r="R24" s="22">
        <f t="shared" si="7"/>
        <v>309.36155755878258</v>
      </c>
      <c r="S24" s="22">
        <f t="shared" si="7"/>
        <v>288.40038971601854</v>
      </c>
      <c r="T24" s="22">
        <f t="shared" si="7"/>
        <v>268.69363621194901</v>
      </c>
      <c r="U24" s="22">
        <f t="shared" si="7"/>
        <v>250.18645450435477</v>
      </c>
      <c r="V24" s="22">
        <f t="shared" si="7"/>
        <v>232.82360636167894</v>
      </c>
      <c r="W24" s="22">
        <f t="shared" si="7"/>
        <v>216.54998305069327</v>
      </c>
      <c r="X24" s="22">
        <f t="shared" si="7"/>
        <v>201.31103830565803</v>
      </c>
      <c r="Y24" s="22">
        <f t="shared" si="7"/>
        <v>187.05314150558223</v>
      </c>
      <c r="Z24" s="22">
        <f t="shared" si="7"/>
        <v>173.72386198894446</v>
      </c>
      <c r="AA24" s="22">
        <f t="shared" si="7"/>
        <v>161.27219410751701</v>
      </c>
      <c r="AB24" s="22">
        <f t="shared" si="7"/>
        <v>149.64873144429168</v>
      </c>
      <c r="AC24" s="22">
        <f t="shared" si="7"/>
        <v>126.67348861807514</v>
      </c>
      <c r="AD24" s="22">
        <f t="shared" si="7"/>
        <v>106.63879629377981</v>
      </c>
      <c r="AE24" s="22">
        <f t="shared" si="7"/>
        <v>89.199886965488005</v>
      </c>
      <c r="AF24" s="22">
        <f t="shared" si="7"/>
        <v>74.050376058094031</v>
      </c>
      <c r="AG24" s="22">
        <f t="shared" si="7"/>
        <v>60.918132530842051</v>
      </c>
      <c r="AH24" s="22">
        <f t="shared" si="7"/>
        <v>49.561583065916103</v>
      </c>
      <c r="AI24" s="22">
        <f t="shared" si="7"/>
        <v>39.766405135680465</v>
      </c>
      <c r="AJ24" s="22">
        <f t="shared" si="7"/>
        <v>31.342568787256969</v>
      </c>
      <c r="AK24" s="22">
        <f t="shared" si="7"/>
        <v>24.121691071309801</v>
      </c>
      <c r="AL24" s="22">
        <f t="shared" si="7"/>
        <v>17.954670718697997</v>
      </c>
      <c r="AM24" s="22">
        <f t="shared" si="7"/>
        <v>14.999410986276594</v>
      </c>
      <c r="AN24" s="22">
        <f t="shared" si="7"/>
        <v>12.433085496785537</v>
      </c>
      <c r="AO24" s="22">
        <f t="shared" si="7"/>
        <v>10.209402567480659</v>
      </c>
      <c r="AP24" s="22">
        <f t="shared" si="7"/>
        <v>8.2872728526214114</v>
      </c>
      <c r="AQ24" s="22">
        <f t="shared" si="7"/>
        <v>6.6302460399061536</v>
      </c>
      <c r="AR24" s="22">
        <f t="shared" si="7"/>
        <v>5.2060069712166337</v>
      </c>
      <c r="AS24" s="22">
        <f t="shared" si="7"/>
        <v>3.9859250386532588</v>
      </c>
      <c r="AT24" s="22">
        <f t="shared" si="7"/>
        <v>2.9446513337359783</v>
      </c>
      <c r="AU24" s="22">
        <f t="shared" si="7"/>
        <v>1.4425614248117478</v>
      </c>
    </row>
    <row r="25" spans="3:47" s="5" customFormat="1" x14ac:dyDescent="0.2">
      <c r="C25" s="12" t="s">
        <v>313</v>
      </c>
      <c r="E25" s="24">
        <f>+SUM($E$24:E24)</f>
        <v>-669.82400000000007</v>
      </c>
      <c r="F25" s="24">
        <f>+SUM($E$24:F24)</f>
        <v>-2178.0494545454549</v>
      </c>
      <c r="G25" s="24">
        <f>+SUM($E$24:G24)</f>
        <v>-4518.7932561983471</v>
      </c>
      <c r="H25" s="24">
        <f>+SUM($E$24:H24)</f>
        <v>-5465.7113628850484</v>
      </c>
      <c r="I25" s="24">
        <f>+SUM($E$24:I24)</f>
        <v>-5478.8170250665935</v>
      </c>
      <c r="J25" s="24">
        <f>+SUM($E$24:J24)</f>
        <v>-4897.6346666832242</v>
      </c>
      <c r="K25" s="24">
        <f>+SUM($E$24:K24)</f>
        <v>-4291.3896658054673</v>
      </c>
      <c r="L25" s="24">
        <f>+SUM($E$24:L24)</f>
        <v>-3781.8236544023757</v>
      </c>
      <c r="M25" s="24">
        <f>+SUM($E$24:M24)</f>
        <v>-3313.9167520520132</v>
      </c>
      <c r="N25" s="24">
        <f>+SUM($E$24:N24)</f>
        <v>-2883.0335717855687</v>
      </c>
      <c r="O25" s="24">
        <f>+SUM($E$24:O24)</f>
        <v>-2486.309526962581</v>
      </c>
      <c r="P25" s="24">
        <f>+SUM($E$24:P24)</f>
        <v>-2121.0948837029705</v>
      </c>
      <c r="Q25" s="24">
        <f>+SUM($E$24:Q24)</f>
        <v>-1784.9393710185443</v>
      </c>
      <c r="R25" s="24">
        <f>+SUM($E$24:R24)</f>
        <v>-1475.5778134597617</v>
      </c>
      <c r="S25" s="24">
        <f>+SUM($E$24:S24)</f>
        <v>-1187.1774237437432</v>
      </c>
      <c r="T25" s="24">
        <f>+SUM($E$24:T24)</f>
        <v>-918.48378753179418</v>
      </c>
      <c r="U25" s="24">
        <f>+SUM($E$24:U24)</f>
        <v>-668.29733302743944</v>
      </c>
      <c r="V25" s="24">
        <f>+SUM($E$24:V24)</f>
        <v>-435.47372666576052</v>
      </c>
      <c r="W25" s="24">
        <f>+SUM($E$24:W24)</f>
        <v>-218.92374361506725</v>
      </c>
      <c r="X25" s="24">
        <f>+SUM($E$24:X24)</f>
        <v>-17.612705309409222</v>
      </c>
      <c r="Y25" s="24">
        <f>+SUM($E$24:Y24)</f>
        <v>169.44043619617301</v>
      </c>
      <c r="Z25" s="24">
        <f>+SUM($E$24:Z24)</f>
        <v>343.16429818511745</v>
      </c>
      <c r="AA25" s="24">
        <f>+SUM($E$24:AA24)</f>
        <v>504.43649229263445</v>
      </c>
      <c r="AB25" s="24">
        <f>+SUM($E$24:AB24)</f>
        <v>654.08522373692608</v>
      </c>
      <c r="AC25" s="24">
        <f>+SUM($E$24:AC24)</f>
        <v>780.75871235500119</v>
      </c>
      <c r="AD25" s="24">
        <f>+SUM($E$24:AD24)</f>
        <v>887.39750864878101</v>
      </c>
      <c r="AE25" s="24">
        <f>+SUM($E$24:AE24)</f>
        <v>976.59739561426898</v>
      </c>
      <c r="AF25" s="24">
        <f>+SUM($E$24:AF24)</f>
        <v>1050.647771672363</v>
      </c>
      <c r="AG25" s="24">
        <f>+SUM($E$24:AG24)</f>
        <v>1111.565904203205</v>
      </c>
      <c r="AH25" s="24">
        <f>+SUM($E$24:AH24)</f>
        <v>1161.127487269121</v>
      </c>
      <c r="AI25" s="24">
        <f>+SUM($E$24:AI24)</f>
        <v>1200.8938924048016</v>
      </c>
      <c r="AJ25" s="24">
        <f>+SUM($E$24:AJ24)</f>
        <v>1232.2364611920586</v>
      </c>
      <c r="AK25" s="24">
        <f>+SUM($E$24:AK24)</f>
        <v>1256.3581522633685</v>
      </c>
      <c r="AL25" s="24">
        <f>+SUM($E$24:AL24)</f>
        <v>1274.3128229820666</v>
      </c>
      <c r="AM25" s="24">
        <f>+SUM($E$24:AM24)</f>
        <v>1289.3122339683432</v>
      </c>
      <c r="AN25" s="24">
        <f>+SUM($E$24:AN24)</f>
        <v>1301.7453194651287</v>
      </c>
      <c r="AO25" s="24">
        <f>+SUM($E$24:AO24)</f>
        <v>1311.9547220326094</v>
      </c>
      <c r="AP25" s="24">
        <f>+SUM($E$24:AP24)</f>
        <v>1320.2419948852307</v>
      </c>
      <c r="AQ25" s="24">
        <f>+SUM($E$24:AQ24)</f>
        <v>1326.8722409251368</v>
      </c>
      <c r="AR25" s="24">
        <f>+SUM($E$24:AR24)</f>
        <v>1332.0782478963533</v>
      </c>
      <c r="AS25" s="24">
        <f>+SUM($E$24:AS24)</f>
        <v>1336.0641729350066</v>
      </c>
      <c r="AT25" s="24">
        <f>+SUM($E$24:AT24)</f>
        <v>1339.0088242687425</v>
      </c>
      <c r="AU25" s="24">
        <f>+SUM($E$24:AU24)</f>
        <v>1340.4513856935544</v>
      </c>
    </row>
  </sheetData>
  <pageMargins left="0.7" right="0.7" top="0.75" bottom="0.75" header="0.3" footer="0.3"/>
  <pageSetup scale="30" orientation="landscape"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0539-B97A-4D8F-8EA2-27043E63D8C7}">
  <sheetPr codeName="Sheet3"/>
  <dimension ref="C2:AU23"/>
  <sheetViews>
    <sheetView showGridLines="0" view="pageBreakPreview" zoomScaleNormal="100" zoomScaleSheetLayoutView="100" workbookViewId="0">
      <selection activeCell="E10" sqref="E10"/>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4.7109375" bestFit="1"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+SUM(E22:AU22)</f>
        <v>888.08584126352912</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-505.91415873647088</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7" x14ac:dyDescent="0.2">
      <c r="E17" s="1"/>
      <c r="F17" s="1"/>
      <c r="G17" s="1"/>
      <c r="H17" s="1"/>
      <c r="I17" s="1"/>
      <c r="J17" s="1"/>
      <c r="K17" s="1"/>
      <c r="L17" s="1"/>
      <c r="M17" s="1"/>
      <c r="N17" s="1"/>
      <c r="O17" s="1"/>
      <c r="P17" s="1"/>
    </row>
    <row r="18" spans="3:47"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row>
    <row r="19" spans="3:47" x14ac:dyDescent="0.2">
      <c r="C19" s="11" t="s">
        <v>312</v>
      </c>
      <c r="E19" s="7">
        <v>-724</v>
      </c>
      <c r="F19" s="7">
        <v>-1796</v>
      </c>
      <c r="G19" s="7">
        <v>-3066</v>
      </c>
      <c r="H19" s="7">
        <v>-1365</v>
      </c>
      <c r="I19" s="7">
        <v>-22</v>
      </c>
      <c r="J19" s="7">
        <v>936</v>
      </c>
      <c r="K19" s="7">
        <v>1074</v>
      </c>
      <c r="L19" s="7">
        <v>993</v>
      </c>
      <c r="M19" s="7">
        <v>1003</v>
      </c>
      <c r="N19" s="10">
        <f>+M19-(($M$19-$R$19)/($R$18-$M$18))</f>
        <v>1016</v>
      </c>
      <c r="O19" s="10">
        <f t="shared" ref="O19:Q19" si="2">+N19-(($M$19-$R$19)/($R$18-$M$18))</f>
        <v>1029</v>
      </c>
      <c r="P19" s="10">
        <f t="shared" si="2"/>
        <v>1042</v>
      </c>
      <c r="Q19" s="10">
        <f t="shared" si="2"/>
        <v>1055</v>
      </c>
      <c r="R19" s="7">
        <v>1068</v>
      </c>
      <c r="S19" s="10">
        <f>+R19-(($R$19-$AB$19)/($AB$18-$R$18))</f>
        <v>1095.2</v>
      </c>
      <c r="T19" s="10">
        <f t="shared" ref="T19:Z19" si="3">+S19-(($R$19-$AB$19)/($AB$18-$R$18))</f>
        <v>1122.4000000000001</v>
      </c>
      <c r="U19" s="10">
        <f t="shared" si="3"/>
        <v>1149.6000000000001</v>
      </c>
      <c r="V19" s="10">
        <f t="shared" si="3"/>
        <v>1176.8000000000002</v>
      </c>
      <c r="W19" s="10">
        <f t="shared" si="3"/>
        <v>1204.0000000000002</v>
      </c>
      <c r="X19" s="10">
        <f t="shared" si="3"/>
        <v>1231.2000000000003</v>
      </c>
      <c r="Y19" s="10">
        <f t="shared" si="3"/>
        <v>1258.4000000000003</v>
      </c>
      <c r="Z19" s="10">
        <f t="shared" si="3"/>
        <v>1285.6000000000004</v>
      </c>
      <c r="AA19" s="10">
        <f>+Z19-(($R$19-$AB$19)/($AB$18-$R$18))</f>
        <v>1312.8000000000004</v>
      </c>
      <c r="AB19" s="7">
        <v>1340</v>
      </c>
      <c r="AC19" s="10">
        <f>+AB19-(($AB$19-$AL$19)/($AL$18-$AB$18))</f>
        <v>1247.7</v>
      </c>
      <c r="AD19" s="10">
        <f>+AC19-(($AB$19-$AL$19)/($AL$18-$AB$18))</f>
        <v>1155.4000000000001</v>
      </c>
      <c r="AE19" s="10">
        <f>+AD19-(($AB$19-$AL$19)/($AL$18-$AB$18))</f>
        <v>1063.1000000000001</v>
      </c>
      <c r="AF19" s="10">
        <f t="shared" ref="AF19:AK19" si="4">+AE19-(($AB$19-$AL$19)/($AL$18-$AB$18))</f>
        <v>970.80000000000018</v>
      </c>
      <c r="AG19" s="10">
        <f t="shared" si="4"/>
        <v>878.50000000000023</v>
      </c>
      <c r="AH19" s="10">
        <f t="shared" si="4"/>
        <v>786.20000000000027</v>
      </c>
      <c r="AI19" s="10">
        <f t="shared" si="4"/>
        <v>693.90000000000032</v>
      </c>
      <c r="AJ19" s="10">
        <f t="shared" si="4"/>
        <v>601.60000000000036</v>
      </c>
      <c r="AK19" s="10">
        <f t="shared" si="4"/>
        <v>509.30000000000035</v>
      </c>
      <c r="AL19" s="7">
        <v>417</v>
      </c>
      <c r="AM19" s="10">
        <f>+AL19-(($AL$19-$AU$19)/($AU$18-$AK$18))</f>
        <v>383.2</v>
      </c>
      <c r="AN19" s="10">
        <f t="shared" ref="AN19:AS19" si="5">+AM19-(($AL$19-$AU$19)/($AU$18-$AK$18))</f>
        <v>349.4</v>
      </c>
      <c r="AO19" s="10">
        <f t="shared" si="5"/>
        <v>315.59999999999997</v>
      </c>
      <c r="AP19" s="10">
        <f t="shared" si="5"/>
        <v>281.79999999999995</v>
      </c>
      <c r="AQ19" s="10">
        <f t="shared" si="5"/>
        <v>247.99999999999994</v>
      </c>
      <c r="AR19" s="10">
        <f t="shared" si="5"/>
        <v>214.19999999999993</v>
      </c>
      <c r="AS19" s="10">
        <f t="shared" si="5"/>
        <v>180.39999999999992</v>
      </c>
      <c r="AT19" s="10">
        <f>+AS19-(($AL$19-$AU$19)/($AU$18-$AK$18))</f>
        <v>146.59999999999991</v>
      </c>
      <c r="AU19" s="7">
        <v>79</v>
      </c>
    </row>
    <row r="20" spans="3:47" x14ac:dyDescent="0.2">
      <c r="C20" s="11" t="s">
        <v>311</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row>
    <row r="21" spans="3:47" s="5" customFormat="1" x14ac:dyDescent="0.2">
      <c r="C21" s="12" t="str">
        <f>+CONCATENATE("Facteur d'escompte @ ",E10*100,"%")</f>
        <v>Facteur d'escompte @ 10%</v>
      </c>
      <c r="E21" s="6">
        <f t="shared" ref="E21:AU21" si="6">+(1+$E$10)^-(E18-($E$18))</f>
        <v>1</v>
      </c>
      <c r="F21" s="6">
        <f t="shared" si="6"/>
        <v>0.90909090909090906</v>
      </c>
      <c r="G21" s="6">
        <f t="shared" si="6"/>
        <v>0.82644628099173545</v>
      </c>
      <c r="H21" s="6">
        <f t="shared" si="6"/>
        <v>0.75131480090157754</v>
      </c>
      <c r="I21" s="6">
        <f t="shared" si="6"/>
        <v>0.68301345536507052</v>
      </c>
      <c r="J21" s="6">
        <f t="shared" si="6"/>
        <v>0.62092132305915493</v>
      </c>
      <c r="K21" s="6">
        <f t="shared" si="6"/>
        <v>0.56447393005377722</v>
      </c>
      <c r="L21" s="6">
        <f t="shared" si="6"/>
        <v>0.51315811823070645</v>
      </c>
      <c r="M21" s="6">
        <f t="shared" si="6"/>
        <v>0.46650738020973315</v>
      </c>
      <c r="N21" s="6">
        <f t="shared" si="6"/>
        <v>0.42409761837248466</v>
      </c>
      <c r="O21" s="6">
        <f t="shared" si="6"/>
        <v>0.38554328942953148</v>
      </c>
      <c r="P21" s="6">
        <f t="shared" si="6"/>
        <v>0.3504938994813922</v>
      </c>
      <c r="Q21" s="6">
        <f t="shared" si="6"/>
        <v>0.31863081771035656</v>
      </c>
      <c r="R21" s="6">
        <f t="shared" si="6"/>
        <v>0.28966437973668779</v>
      </c>
      <c r="S21" s="6">
        <f t="shared" si="6"/>
        <v>0.26333125430607973</v>
      </c>
      <c r="T21" s="6">
        <f t="shared" si="6"/>
        <v>0.23939204936916339</v>
      </c>
      <c r="U21" s="6">
        <f t="shared" si="6"/>
        <v>0.21762913579014853</v>
      </c>
      <c r="V21" s="6">
        <f t="shared" si="6"/>
        <v>0.19784466890013502</v>
      </c>
      <c r="W21" s="6">
        <f t="shared" si="6"/>
        <v>0.17985878990921364</v>
      </c>
      <c r="X21" s="6">
        <f t="shared" si="6"/>
        <v>0.16350799082655781</v>
      </c>
      <c r="Y21" s="6">
        <f t="shared" si="6"/>
        <v>0.14864362802414349</v>
      </c>
      <c r="Z21" s="6">
        <f t="shared" si="6"/>
        <v>0.13513057093103953</v>
      </c>
      <c r="AA21" s="6">
        <f t="shared" si="6"/>
        <v>0.12284597357367227</v>
      </c>
      <c r="AB21" s="6">
        <f t="shared" si="6"/>
        <v>0.11167815779424752</v>
      </c>
      <c r="AC21" s="6">
        <f t="shared" si="6"/>
        <v>0.10152559799477048</v>
      </c>
      <c r="AD21" s="6">
        <f t="shared" si="6"/>
        <v>9.2295998177064048E-2</v>
      </c>
      <c r="AE21" s="6">
        <f t="shared" si="6"/>
        <v>8.3905452888240042E-2</v>
      </c>
      <c r="AF21" s="6">
        <f t="shared" si="6"/>
        <v>7.6277684443854576E-2</v>
      </c>
      <c r="AG21" s="6">
        <f t="shared" si="6"/>
        <v>6.9343349494413245E-2</v>
      </c>
      <c r="AH21" s="6">
        <f t="shared" si="6"/>
        <v>6.3039408631284766E-2</v>
      </c>
      <c r="AI21" s="6">
        <f t="shared" si="6"/>
        <v>5.7308553301167964E-2</v>
      </c>
      <c r="AJ21" s="6">
        <f t="shared" si="6"/>
        <v>5.2098684819243603E-2</v>
      </c>
      <c r="AK21" s="6">
        <f t="shared" si="6"/>
        <v>4.7362440744766907E-2</v>
      </c>
      <c r="AL21" s="6">
        <f t="shared" si="6"/>
        <v>4.3056764313424457E-2</v>
      </c>
      <c r="AM21" s="6">
        <f t="shared" si="6"/>
        <v>3.9142513012204054E-2</v>
      </c>
      <c r="AN21" s="6">
        <f t="shared" si="6"/>
        <v>3.5584102738367311E-2</v>
      </c>
      <c r="AO21" s="6">
        <f t="shared" si="6"/>
        <v>3.2349184307606652E-2</v>
      </c>
      <c r="AP21" s="6">
        <f t="shared" si="6"/>
        <v>2.94083493705515E-2</v>
      </c>
      <c r="AQ21" s="6">
        <f t="shared" si="6"/>
        <v>2.6734863064137721E-2</v>
      </c>
      <c r="AR21" s="6">
        <f t="shared" si="6"/>
        <v>2.4304420967397926E-2</v>
      </c>
      <c r="AS21" s="6">
        <f t="shared" si="6"/>
        <v>2.2094928152179935E-2</v>
      </c>
      <c r="AT21" s="6">
        <f t="shared" si="6"/>
        <v>2.0086298320163575E-2</v>
      </c>
      <c r="AU21" s="6">
        <f t="shared" si="6"/>
        <v>1.8260271200148705E-2</v>
      </c>
    </row>
    <row r="22" spans="3:47" x14ac:dyDescent="0.2">
      <c r="C22" s="20" t="s">
        <v>303</v>
      </c>
      <c r="D22" s="21"/>
      <c r="E22" s="22">
        <f>+SUM(E19, E20)*E21</f>
        <v>-724</v>
      </c>
      <c r="F22" s="22">
        <f t="shared" ref="F22:AU22" si="7">+SUM(F19, F20)*F21</f>
        <v>-1632.7272727272727</v>
      </c>
      <c r="G22" s="22">
        <f t="shared" si="7"/>
        <v>-2533.8842975206608</v>
      </c>
      <c r="H22" s="22">
        <f t="shared" si="7"/>
        <v>-1025.5447032306533</v>
      </c>
      <c r="I22" s="22">
        <f t="shared" si="7"/>
        <v>-15.026296018031552</v>
      </c>
      <c r="J22" s="22">
        <f t="shared" si="7"/>
        <v>581.18235838336898</v>
      </c>
      <c r="K22" s="22">
        <f t="shared" si="7"/>
        <v>606.24500087775675</v>
      </c>
      <c r="L22" s="22">
        <f t="shared" si="7"/>
        <v>509.56601140309152</v>
      </c>
      <c r="M22" s="22">
        <f t="shared" si="7"/>
        <v>467.90690235036237</v>
      </c>
      <c r="N22" s="22">
        <f t="shared" si="7"/>
        <v>430.88318026644441</v>
      </c>
      <c r="O22" s="22">
        <f t="shared" si="7"/>
        <v>396.72404482298788</v>
      </c>
      <c r="P22" s="22">
        <f t="shared" si="7"/>
        <v>365.21464325961068</v>
      </c>
      <c r="Q22" s="22">
        <f t="shared" si="7"/>
        <v>336.15551268442618</v>
      </c>
      <c r="R22" s="22">
        <f t="shared" si="7"/>
        <v>309.36155755878258</v>
      </c>
      <c r="S22" s="22">
        <f t="shared" si="7"/>
        <v>288.40038971601854</v>
      </c>
      <c r="T22" s="22">
        <f t="shared" si="7"/>
        <v>268.69363621194901</v>
      </c>
      <c r="U22" s="22">
        <f t="shared" si="7"/>
        <v>250.18645450435477</v>
      </c>
      <c r="V22" s="22">
        <f t="shared" si="7"/>
        <v>232.82360636167894</v>
      </c>
      <c r="W22" s="22">
        <f t="shared" si="7"/>
        <v>216.54998305069327</v>
      </c>
      <c r="X22" s="22">
        <f t="shared" si="7"/>
        <v>201.31103830565803</v>
      </c>
      <c r="Y22" s="22">
        <f t="shared" si="7"/>
        <v>187.05314150558223</v>
      </c>
      <c r="Z22" s="22">
        <f t="shared" si="7"/>
        <v>173.72386198894446</v>
      </c>
      <c r="AA22" s="22">
        <f t="shared" si="7"/>
        <v>161.27219410751701</v>
      </c>
      <c r="AB22" s="22">
        <f t="shared" si="7"/>
        <v>149.64873144429168</v>
      </c>
      <c r="AC22" s="22">
        <f t="shared" si="7"/>
        <v>126.67348861807514</v>
      </c>
      <c r="AD22" s="22">
        <f t="shared" si="7"/>
        <v>106.63879629377981</v>
      </c>
      <c r="AE22" s="22">
        <f t="shared" si="7"/>
        <v>89.199886965488005</v>
      </c>
      <c r="AF22" s="22">
        <f t="shared" si="7"/>
        <v>74.050376058094031</v>
      </c>
      <c r="AG22" s="22">
        <f t="shared" si="7"/>
        <v>60.918132530842051</v>
      </c>
      <c r="AH22" s="22">
        <f t="shared" si="7"/>
        <v>49.561583065916103</v>
      </c>
      <c r="AI22" s="22">
        <f t="shared" si="7"/>
        <v>39.766405135680465</v>
      </c>
      <c r="AJ22" s="22">
        <f t="shared" si="7"/>
        <v>31.342568787256969</v>
      </c>
      <c r="AK22" s="22">
        <f t="shared" si="7"/>
        <v>24.121691071309801</v>
      </c>
      <c r="AL22" s="22">
        <f t="shared" si="7"/>
        <v>17.954670718697997</v>
      </c>
      <c r="AM22" s="22">
        <f t="shared" si="7"/>
        <v>14.999410986276594</v>
      </c>
      <c r="AN22" s="22">
        <f t="shared" si="7"/>
        <v>12.433085496785537</v>
      </c>
      <c r="AO22" s="22">
        <f t="shared" si="7"/>
        <v>10.209402567480659</v>
      </c>
      <c r="AP22" s="22">
        <f t="shared" si="7"/>
        <v>8.2872728526214114</v>
      </c>
      <c r="AQ22" s="22">
        <f t="shared" si="7"/>
        <v>6.6302460399061536</v>
      </c>
      <c r="AR22" s="22">
        <f t="shared" si="7"/>
        <v>5.2060069712166337</v>
      </c>
      <c r="AS22" s="22">
        <f t="shared" si="7"/>
        <v>3.9859250386532588</v>
      </c>
      <c r="AT22" s="22">
        <f t="shared" si="7"/>
        <v>2.9446513337359783</v>
      </c>
      <c r="AU22" s="22">
        <f t="shared" si="7"/>
        <v>1.4425614248117478</v>
      </c>
    </row>
    <row r="23" spans="3:47" s="5" customFormat="1" x14ac:dyDescent="0.2">
      <c r="C23" s="12" t="s">
        <v>313</v>
      </c>
      <c r="E23" s="24">
        <f>+SUM($E$22:E22)</f>
        <v>-724</v>
      </c>
      <c r="F23" s="24">
        <f>+SUM($E$22:F22)</f>
        <v>-2356.727272727273</v>
      </c>
      <c r="G23" s="24">
        <f>+SUM($E$22:G22)</f>
        <v>-4890.6115702479337</v>
      </c>
      <c r="H23" s="24">
        <f>+SUM($E$22:H22)</f>
        <v>-5916.1562734785875</v>
      </c>
      <c r="I23" s="24">
        <f>+SUM($E$22:I22)</f>
        <v>-5931.1825694966192</v>
      </c>
      <c r="J23" s="24">
        <f>+SUM($E$22:J22)</f>
        <v>-5350.0002111132499</v>
      </c>
      <c r="K23" s="24">
        <f>+SUM($E$22:K22)</f>
        <v>-4743.755210235493</v>
      </c>
      <c r="L23" s="24">
        <f>+SUM($E$22:L22)</f>
        <v>-4234.1891988324014</v>
      </c>
      <c r="M23" s="24">
        <f>+SUM($E$22:M22)</f>
        <v>-3766.2822964820389</v>
      </c>
      <c r="N23" s="24">
        <f>+SUM($E$22:N22)</f>
        <v>-3335.3991162155944</v>
      </c>
      <c r="O23" s="24">
        <f>+SUM($E$22:O22)</f>
        <v>-2938.6750713926067</v>
      </c>
      <c r="P23" s="24">
        <f>+SUM($E$22:P22)</f>
        <v>-2573.4604281329962</v>
      </c>
      <c r="Q23" s="24">
        <f>+SUM($E$22:Q22)</f>
        <v>-2237.3049154485698</v>
      </c>
      <c r="R23" s="24">
        <f>+SUM($E$22:R22)</f>
        <v>-1927.9433578897872</v>
      </c>
      <c r="S23" s="24">
        <f>+SUM($E$22:S22)</f>
        <v>-1639.5429681737687</v>
      </c>
      <c r="T23" s="24">
        <f>+SUM($E$22:T22)</f>
        <v>-1370.8493319618196</v>
      </c>
      <c r="U23" s="24">
        <f>+SUM($E$22:U22)</f>
        <v>-1120.6628774574649</v>
      </c>
      <c r="V23" s="24">
        <f>+SUM($E$22:V22)</f>
        <v>-887.83927109578599</v>
      </c>
      <c r="W23" s="24">
        <f>+SUM($E$22:W22)</f>
        <v>-671.28928804509269</v>
      </c>
      <c r="X23" s="24">
        <f>+SUM($E$22:X22)</f>
        <v>-469.97824973943466</v>
      </c>
      <c r="Y23" s="24">
        <f>+SUM($E$22:Y22)</f>
        <v>-282.92510823385243</v>
      </c>
      <c r="Z23" s="24">
        <f>+SUM($E$22:Z22)</f>
        <v>-109.20124624490796</v>
      </c>
      <c r="AA23" s="24">
        <f>+SUM($E$22:AA22)</f>
        <v>52.070947862609046</v>
      </c>
      <c r="AB23" s="24">
        <f>+SUM($E$22:AB22)</f>
        <v>201.71967930690073</v>
      </c>
      <c r="AC23" s="24">
        <f>+SUM($E$22:AC22)</f>
        <v>328.39316792497584</v>
      </c>
      <c r="AD23" s="24">
        <f>+SUM($E$22:AD22)</f>
        <v>435.03196421875566</v>
      </c>
      <c r="AE23" s="24">
        <f>+SUM($E$22:AE22)</f>
        <v>524.23185118424362</v>
      </c>
      <c r="AF23" s="24">
        <f>+SUM($E$22:AF22)</f>
        <v>598.28222724233763</v>
      </c>
      <c r="AG23" s="24">
        <f>+SUM($E$22:AG22)</f>
        <v>659.20035977317968</v>
      </c>
      <c r="AH23" s="24">
        <f>+SUM($E$22:AH22)</f>
        <v>708.76194283909581</v>
      </c>
      <c r="AI23" s="24">
        <f>+SUM($E$22:AI22)</f>
        <v>748.52834797477624</v>
      </c>
      <c r="AJ23" s="24">
        <f>+SUM($E$22:AJ22)</f>
        <v>779.87091676203318</v>
      </c>
      <c r="AK23" s="24">
        <f>+SUM($E$22:AK22)</f>
        <v>803.99260783334296</v>
      </c>
      <c r="AL23" s="24">
        <f>+SUM($E$22:AL22)</f>
        <v>821.94727855204098</v>
      </c>
      <c r="AM23" s="24">
        <f>+SUM($E$22:AM22)</f>
        <v>836.94668953831763</v>
      </c>
      <c r="AN23" s="24">
        <f>+SUM($E$22:AN22)</f>
        <v>849.37977503510319</v>
      </c>
      <c r="AO23" s="24">
        <f>+SUM($E$22:AO22)</f>
        <v>859.58917760258385</v>
      </c>
      <c r="AP23" s="24">
        <f>+SUM($E$22:AP22)</f>
        <v>867.87645045520526</v>
      </c>
      <c r="AQ23" s="24">
        <f>+SUM($E$22:AQ22)</f>
        <v>874.50669649511144</v>
      </c>
      <c r="AR23" s="24">
        <f>+SUM($E$22:AR22)</f>
        <v>879.71270346632809</v>
      </c>
      <c r="AS23" s="24">
        <f>+SUM($E$22:AS22)</f>
        <v>883.69862850498134</v>
      </c>
      <c r="AT23" s="24">
        <f>+SUM($E$22:AT22)</f>
        <v>886.64327983871738</v>
      </c>
      <c r="AU23" s="24">
        <f>+SUM($E$22:AU22)</f>
        <v>888.08584126352912</v>
      </c>
    </row>
  </sheetData>
  <pageMargins left="0.7" right="0.7" top="0.75" bottom="0.75" header="0.3" footer="0.3"/>
  <pageSetup scale="30" orientation="landscape"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6EA0F-EA65-4999-ACD0-21C1C0541DC9}">
  <sheetPr codeName="Sheet18"/>
  <dimension ref="C2:AU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5" bestFit="1"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+SUM(E24:AU24)</f>
        <v>433.72029683350479</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-960.27970316649521</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317</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318</v>
      </c>
      <c r="AL16" s="15"/>
      <c r="AM16" s="15"/>
      <c r="AN16" s="15"/>
      <c r="AO16" s="15"/>
      <c r="AP16" s="15"/>
      <c r="AQ16" s="15"/>
      <c r="AR16" s="15"/>
      <c r="AS16" s="15"/>
      <c r="AT16" s="15"/>
    </row>
    <row r="17" spans="3:47" x14ac:dyDescent="0.2">
      <c r="E17" s="1"/>
      <c r="F17" s="1"/>
      <c r="G17" s="1"/>
      <c r="H17" s="1"/>
      <c r="I17" s="1"/>
      <c r="J17" s="1"/>
      <c r="K17" s="1"/>
      <c r="L17" s="1"/>
      <c r="M17" s="1"/>
      <c r="N17" s="1"/>
      <c r="O17" s="1"/>
      <c r="P17" s="1"/>
    </row>
    <row r="18" spans="3:47"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row>
    <row r="19" spans="3:47" s="73" customFormat="1" x14ac:dyDescent="0.2">
      <c r="C19" s="81" t="s">
        <v>308</v>
      </c>
      <c r="E19" s="77">
        <f>1.076*726</f>
        <v>781.17600000000004</v>
      </c>
      <c r="F19" s="77">
        <f>1.076*1802</f>
        <v>1938.9520000000002</v>
      </c>
      <c r="G19" s="77">
        <f>1.076*3075</f>
        <v>3308.7000000000003</v>
      </c>
      <c r="H19" s="77">
        <f>1.076*1377</f>
        <v>1481.652</v>
      </c>
      <c r="I19" s="77">
        <f>1.076*37</f>
        <v>39.812000000000005</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row>
    <row r="20" spans="3:47" s="73" customFormat="1" x14ac:dyDescent="0.2">
      <c r="C20" s="81" t="s">
        <v>316</v>
      </c>
      <c r="E20" s="77">
        <v>1</v>
      </c>
      <c r="F20" s="77">
        <v>6</v>
      </c>
      <c r="G20" s="77">
        <v>9</v>
      </c>
      <c r="H20" s="77">
        <v>12</v>
      </c>
      <c r="I20" s="77">
        <v>15</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row>
    <row r="21" spans="3:47" x14ac:dyDescent="0.2">
      <c r="C21" s="11" t="s">
        <v>312</v>
      </c>
      <c r="E21" s="75">
        <f>E20-E19</f>
        <v>-780.17600000000004</v>
      </c>
      <c r="F21" s="75">
        <f t="shared" ref="F21:I21" si="2">F20-F19</f>
        <v>-1932.9520000000002</v>
      </c>
      <c r="G21" s="75">
        <f t="shared" si="2"/>
        <v>-3299.7000000000003</v>
      </c>
      <c r="H21" s="75">
        <f t="shared" si="2"/>
        <v>-1469.652</v>
      </c>
      <c r="I21" s="75">
        <f t="shared" si="2"/>
        <v>-24.812000000000005</v>
      </c>
      <c r="J21" s="7">
        <v>936</v>
      </c>
      <c r="K21" s="7">
        <v>1074</v>
      </c>
      <c r="L21" s="7">
        <v>993</v>
      </c>
      <c r="M21" s="7">
        <v>1003</v>
      </c>
      <c r="N21" s="10">
        <f>+M21-(($M$21-$R$21)/($R$18-$M$18))</f>
        <v>1016</v>
      </c>
      <c r="O21" s="10">
        <f>+N21-(($M$21-$R$21)/($R$18-$M$18))</f>
        <v>1029</v>
      </c>
      <c r="P21" s="10">
        <f>+O21-(($M$21-$R$21)/($R$18-$M$18))</f>
        <v>1042</v>
      </c>
      <c r="Q21" s="10">
        <f>+P21-(($M$21-$R$21)/($R$18-$M$18))</f>
        <v>1055</v>
      </c>
      <c r="R21" s="7">
        <v>1068</v>
      </c>
      <c r="S21" s="10">
        <f t="shared" ref="S21:AA21" si="3">+R21-(($R$21-$AB$21)/($AB$18-$R$18))</f>
        <v>1095.2</v>
      </c>
      <c r="T21" s="10">
        <f t="shared" si="3"/>
        <v>1122.4000000000001</v>
      </c>
      <c r="U21" s="10">
        <f t="shared" si="3"/>
        <v>1149.6000000000001</v>
      </c>
      <c r="V21" s="10">
        <f t="shared" si="3"/>
        <v>1176.8000000000002</v>
      </c>
      <c r="W21" s="10">
        <f t="shared" si="3"/>
        <v>1204.0000000000002</v>
      </c>
      <c r="X21" s="10">
        <f t="shared" si="3"/>
        <v>1231.2000000000003</v>
      </c>
      <c r="Y21" s="10">
        <f t="shared" si="3"/>
        <v>1258.4000000000003</v>
      </c>
      <c r="Z21" s="10">
        <f t="shared" si="3"/>
        <v>1285.6000000000004</v>
      </c>
      <c r="AA21" s="10">
        <f t="shared" si="3"/>
        <v>1312.8000000000004</v>
      </c>
      <c r="AB21" s="7">
        <v>1340</v>
      </c>
      <c r="AC21" s="10">
        <f t="shared" ref="AC21:AK21" si="4">+AB21-(($AB$21-$AL$21)/($AL$18-$AB$18))</f>
        <v>1247.7</v>
      </c>
      <c r="AD21" s="10">
        <f t="shared" si="4"/>
        <v>1155.4000000000001</v>
      </c>
      <c r="AE21" s="10">
        <f t="shared" si="4"/>
        <v>1063.1000000000001</v>
      </c>
      <c r="AF21" s="10">
        <f t="shared" si="4"/>
        <v>970.80000000000018</v>
      </c>
      <c r="AG21" s="10">
        <f t="shared" si="4"/>
        <v>878.50000000000023</v>
      </c>
      <c r="AH21" s="10">
        <f t="shared" si="4"/>
        <v>786.20000000000027</v>
      </c>
      <c r="AI21" s="10">
        <f t="shared" si="4"/>
        <v>693.90000000000032</v>
      </c>
      <c r="AJ21" s="10">
        <f t="shared" si="4"/>
        <v>601.60000000000036</v>
      </c>
      <c r="AK21" s="10">
        <f t="shared" si="4"/>
        <v>509.30000000000035</v>
      </c>
      <c r="AL21" s="7">
        <v>417</v>
      </c>
      <c r="AM21" s="10">
        <f t="shared" ref="AM21:AT21" si="5">+AL21-(($AL$21-$AU$21)/($AU$18-$AK$18))</f>
        <v>383.2</v>
      </c>
      <c r="AN21" s="10">
        <f t="shared" si="5"/>
        <v>349.4</v>
      </c>
      <c r="AO21" s="10">
        <f t="shared" si="5"/>
        <v>315.59999999999997</v>
      </c>
      <c r="AP21" s="10">
        <f t="shared" si="5"/>
        <v>281.79999999999995</v>
      </c>
      <c r="AQ21" s="10">
        <f t="shared" si="5"/>
        <v>247.99999999999994</v>
      </c>
      <c r="AR21" s="10">
        <f t="shared" si="5"/>
        <v>214.19999999999993</v>
      </c>
      <c r="AS21" s="10">
        <f t="shared" si="5"/>
        <v>180.39999999999992</v>
      </c>
      <c r="AT21" s="10">
        <f t="shared" si="5"/>
        <v>146.59999999999991</v>
      </c>
      <c r="AU21" s="7">
        <v>79</v>
      </c>
    </row>
    <row r="22" spans="3:47" x14ac:dyDescent="0.2">
      <c r="C22" s="11" t="s">
        <v>311</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c r="AU22" s="7">
        <v>0</v>
      </c>
    </row>
    <row r="23" spans="3:47" s="5" customFormat="1" x14ac:dyDescent="0.2">
      <c r="C23" s="12" t="str">
        <f>+CONCATENATE("Facteur d'escompte @ ",E10*100,"%")</f>
        <v>Facteur d'escompte @ 10%</v>
      </c>
      <c r="E23" s="6">
        <f t="shared" ref="E23:AU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1.8260271200148705E-2</v>
      </c>
    </row>
    <row r="24" spans="3:47" x14ac:dyDescent="0.2">
      <c r="C24" s="20" t="s">
        <v>303</v>
      </c>
      <c r="D24" s="21"/>
      <c r="E24" s="22">
        <f>+SUM(E21, E22)*E23</f>
        <v>-780.17600000000004</v>
      </c>
      <c r="F24" s="22">
        <f t="shared" ref="F24:AU24" si="7">+SUM(F21, F22)*F23</f>
        <v>-1757.2290909090912</v>
      </c>
      <c r="G24" s="22">
        <f t="shared" si="7"/>
        <v>-2727.0247933884298</v>
      </c>
      <c r="H24" s="22">
        <f t="shared" si="7"/>
        <v>-1104.1712997746054</v>
      </c>
      <c r="I24" s="22">
        <f t="shared" si="7"/>
        <v>-16.946929854518132</v>
      </c>
      <c r="J24" s="22">
        <f t="shared" si="7"/>
        <v>581.18235838336898</v>
      </c>
      <c r="K24" s="22">
        <f t="shared" si="7"/>
        <v>606.24500087775675</v>
      </c>
      <c r="L24" s="22">
        <f t="shared" si="7"/>
        <v>509.56601140309152</v>
      </c>
      <c r="M24" s="22">
        <f t="shared" si="7"/>
        <v>467.90690235036237</v>
      </c>
      <c r="N24" s="22">
        <f t="shared" si="7"/>
        <v>430.88318026644441</v>
      </c>
      <c r="O24" s="22">
        <f t="shared" si="7"/>
        <v>396.72404482298788</v>
      </c>
      <c r="P24" s="22">
        <f t="shared" si="7"/>
        <v>365.21464325961068</v>
      </c>
      <c r="Q24" s="22">
        <f t="shared" si="7"/>
        <v>336.15551268442618</v>
      </c>
      <c r="R24" s="22">
        <f t="shared" si="7"/>
        <v>309.36155755878258</v>
      </c>
      <c r="S24" s="22">
        <f t="shared" si="7"/>
        <v>288.40038971601854</v>
      </c>
      <c r="T24" s="22">
        <f t="shared" si="7"/>
        <v>268.69363621194901</v>
      </c>
      <c r="U24" s="22">
        <f t="shared" si="7"/>
        <v>250.18645450435477</v>
      </c>
      <c r="V24" s="22">
        <f t="shared" si="7"/>
        <v>232.82360636167894</v>
      </c>
      <c r="W24" s="22">
        <f t="shared" si="7"/>
        <v>216.54998305069327</v>
      </c>
      <c r="X24" s="22">
        <f t="shared" si="7"/>
        <v>201.31103830565803</v>
      </c>
      <c r="Y24" s="22">
        <f t="shared" si="7"/>
        <v>187.05314150558223</v>
      </c>
      <c r="Z24" s="22">
        <f t="shared" si="7"/>
        <v>173.72386198894446</v>
      </c>
      <c r="AA24" s="22">
        <f t="shared" si="7"/>
        <v>161.27219410751701</v>
      </c>
      <c r="AB24" s="22">
        <f t="shared" si="7"/>
        <v>149.64873144429168</v>
      </c>
      <c r="AC24" s="22">
        <f t="shared" si="7"/>
        <v>126.67348861807514</v>
      </c>
      <c r="AD24" s="22">
        <f t="shared" si="7"/>
        <v>106.63879629377981</v>
      </c>
      <c r="AE24" s="22">
        <f t="shared" si="7"/>
        <v>89.199886965488005</v>
      </c>
      <c r="AF24" s="22">
        <f t="shared" si="7"/>
        <v>74.050376058094031</v>
      </c>
      <c r="AG24" s="22">
        <f t="shared" si="7"/>
        <v>60.918132530842051</v>
      </c>
      <c r="AH24" s="22">
        <f t="shared" si="7"/>
        <v>49.561583065916103</v>
      </c>
      <c r="AI24" s="22">
        <f t="shared" si="7"/>
        <v>39.766405135680465</v>
      </c>
      <c r="AJ24" s="22">
        <f t="shared" si="7"/>
        <v>31.342568787256969</v>
      </c>
      <c r="AK24" s="22">
        <f t="shared" si="7"/>
        <v>24.121691071309801</v>
      </c>
      <c r="AL24" s="22">
        <f t="shared" si="7"/>
        <v>17.954670718697997</v>
      </c>
      <c r="AM24" s="22">
        <f t="shared" si="7"/>
        <v>14.999410986276594</v>
      </c>
      <c r="AN24" s="22">
        <f t="shared" si="7"/>
        <v>12.433085496785537</v>
      </c>
      <c r="AO24" s="22">
        <f t="shared" si="7"/>
        <v>10.209402567480659</v>
      </c>
      <c r="AP24" s="22">
        <f t="shared" si="7"/>
        <v>8.2872728526214114</v>
      </c>
      <c r="AQ24" s="22">
        <f t="shared" si="7"/>
        <v>6.6302460399061536</v>
      </c>
      <c r="AR24" s="22">
        <f t="shared" si="7"/>
        <v>5.2060069712166337</v>
      </c>
      <c r="AS24" s="22">
        <f t="shared" si="7"/>
        <v>3.9859250386532588</v>
      </c>
      <c r="AT24" s="22">
        <f t="shared" si="7"/>
        <v>2.9446513337359783</v>
      </c>
      <c r="AU24" s="22">
        <f t="shared" si="7"/>
        <v>1.4425614248117478</v>
      </c>
    </row>
    <row r="25" spans="3:47" s="5" customFormat="1" x14ac:dyDescent="0.2">
      <c r="C25" s="12" t="s">
        <v>313</v>
      </c>
      <c r="E25" s="24">
        <f>+SUM($E$24:E24)</f>
        <v>-780.17600000000004</v>
      </c>
      <c r="F25" s="24">
        <f>+SUM($E$24:F24)</f>
        <v>-2537.4050909090911</v>
      </c>
      <c r="G25" s="24">
        <f>+SUM($E$24:G24)</f>
        <v>-5264.4298842975204</v>
      </c>
      <c r="H25" s="24">
        <f>+SUM($E$24:H24)</f>
        <v>-6368.6011840721258</v>
      </c>
      <c r="I25" s="24">
        <f>+SUM($E$24:I24)</f>
        <v>-6385.548113926644</v>
      </c>
      <c r="J25" s="24">
        <f>+SUM($E$24:J24)</f>
        <v>-5804.3657555432746</v>
      </c>
      <c r="K25" s="24">
        <f>+SUM($E$24:K24)</f>
        <v>-5198.1207546655178</v>
      </c>
      <c r="L25" s="24">
        <f>+SUM($E$24:L24)</f>
        <v>-4688.5547432624262</v>
      </c>
      <c r="M25" s="24">
        <f>+SUM($E$24:M24)</f>
        <v>-4220.6478409120637</v>
      </c>
      <c r="N25" s="24">
        <f>+SUM($E$24:N24)</f>
        <v>-3789.7646606456192</v>
      </c>
      <c r="O25" s="24">
        <f>+SUM($E$24:O24)</f>
        <v>-3393.0406158226315</v>
      </c>
      <c r="P25" s="24">
        <f>+SUM($E$24:P24)</f>
        <v>-3027.825972563021</v>
      </c>
      <c r="Q25" s="24">
        <f>+SUM($E$24:Q24)</f>
        <v>-2691.6704598785946</v>
      </c>
      <c r="R25" s="24">
        <f>+SUM($E$24:R24)</f>
        <v>-2382.3089023198118</v>
      </c>
      <c r="S25" s="24">
        <f>+SUM($E$24:S24)</f>
        <v>-2093.908512603793</v>
      </c>
      <c r="T25" s="24">
        <f>+SUM($E$24:T24)</f>
        <v>-1825.214876391844</v>
      </c>
      <c r="U25" s="24">
        <f>+SUM($E$24:U24)</f>
        <v>-1575.0284218874892</v>
      </c>
      <c r="V25" s="24">
        <f>+SUM($E$24:V24)</f>
        <v>-1342.2048155258103</v>
      </c>
      <c r="W25" s="24">
        <f>+SUM($E$24:W24)</f>
        <v>-1125.654832475117</v>
      </c>
      <c r="X25" s="24">
        <f>+SUM($E$24:X24)</f>
        <v>-924.34379416945899</v>
      </c>
      <c r="Y25" s="24">
        <f>+SUM($E$24:Y24)</f>
        <v>-737.2906526638767</v>
      </c>
      <c r="Z25" s="24">
        <f>+SUM($E$24:Z24)</f>
        <v>-563.56679067493224</v>
      </c>
      <c r="AA25" s="24">
        <f>+SUM($E$24:AA24)</f>
        <v>-402.29459656741523</v>
      </c>
      <c r="AB25" s="24">
        <f>+SUM($E$24:AB24)</f>
        <v>-252.64586512312354</v>
      </c>
      <c r="AC25" s="24">
        <f>+SUM($E$24:AC24)</f>
        <v>-125.9723765050484</v>
      </c>
      <c r="AD25" s="24">
        <f>+SUM($E$24:AD24)</f>
        <v>-19.333580211268597</v>
      </c>
      <c r="AE25" s="24">
        <f>+SUM($E$24:AE24)</f>
        <v>69.866306754219409</v>
      </c>
      <c r="AF25" s="24">
        <f>+SUM($E$24:AF24)</f>
        <v>143.91668281231344</v>
      </c>
      <c r="AG25" s="24">
        <f>+SUM($E$24:AG24)</f>
        <v>204.8348153431555</v>
      </c>
      <c r="AH25" s="24">
        <f>+SUM($E$24:AH24)</f>
        <v>254.39639840907159</v>
      </c>
      <c r="AI25" s="24">
        <f>+SUM($E$24:AI24)</f>
        <v>294.16280354475208</v>
      </c>
      <c r="AJ25" s="24">
        <f>+SUM($E$24:AJ24)</f>
        <v>325.50537233200907</v>
      </c>
      <c r="AK25" s="24">
        <f>+SUM($E$24:AK24)</f>
        <v>349.62706340331886</v>
      </c>
      <c r="AL25" s="24">
        <f>+SUM($E$24:AL24)</f>
        <v>367.58173412201688</v>
      </c>
      <c r="AM25" s="24">
        <f>+SUM($E$24:AM24)</f>
        <v>382.58114510829347</v>
      </c>
      <c r="AN25" s="24">
        <f>+SUM($E$24:AN24)</f>
        <v>395.01423060507898</v>
      </c>
      <c r="AO25" s="24">
        <f>+SUM($E$24:AO24)</f>
        <v>405.22363317255963</v>
      </c>
      <c r="AP25" s="24">
        <f>+SUM($E$24:AP24)</f>
        <v>413.51090602518104</v>
      </c>
      <c r="AQ25" s="24">
        <f>+SUM($E$24:AQ24)</f>
        <v>420.14115206508717</v>
      </c>
      <c r="AR25" s="24">
        <f>+SUM($E$24:AR24)</f>
        <v>425.34715903630382</v>
      </c>
      <c r="AS25" s="24">
        <f>+SUM($E$24:AS24)</f>
        <v>429.33308407495707</v>
      </c>
      <c r="AT25" s="24">
        <f>+SUM($E$24:AT24)</f>
        <v>432.27773540869305</v>
      </c>
      <c r="AU25" s="24">
        <f>+SUM($E$24:AU24)</f>
        <v>433.72029683350479</v>
      </c>
    </row>
  </sheetData>
  <pageMargins left="0.7" right="0.7" top="0.75" bottom="0.75" header="0.3" footer="0.3"/>
  <pageSetup scale="30" orientation="landscape"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D10BB-4B72-4FE1-9883-CBD94D1E60CF}">
  <sheetPr codeName="Sheet19"/>
  <dimension ref="C2:AV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5.7109375" bestFit="1"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+SUM(E24:AV24)</f>
        <v>728.55398853999645</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-665.44601146000355</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8" x14ac:dyDescent="0.2">
      <c r="E17" s="1"/>
      <c r="F17" s="1"/>
      <c r="G17" s="1"/>
      <c r="H17" s="1"/>
      <c r="I17" s="1"/>
      <c r="J17" s="1"/>
      <c r="K17" s="1"/>
      <c r="L17" s="1"/>
      <c r="M17" s="1"/>
      <c r="N17" s="1"/>
      <c r="O17" s="1"/>
      <c r="P17" s="1"/>
    </row>
    <row r="18" spans="3:48"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c r="AV18" s="3">
        <v>2061</v>
      </c>
    </row>
    <row r="19" spans="3:48" s="73" customFormat="1" x14ac:dyDescent="0.2">
      <c r="C19" s="81" t="s">
        <v>308</v>
      </c>
      <c r="E19" s="77">
        <f>0.924*726</f>
        <v>670.82400000000007</v>
      </c>
      <c r="F19" s="77">
        <f>0.924*1802</f>
        <v>1665.048</v>
      </c>
      <c r="G19" s="77">
        <f>0.924*3075</f>
        <v>2841.3</v>
      </c>
      <c r="H19" s="77">
        <f>0.924*1377</f>
        <v>1272.348</v>
      </c>
      <c r="I19" s="77">
        <f>0.924*37</f>
        <v>34.188000000000002</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row>
    <row r="20" spans="3:48" s="73" customFormat="1" x14ac:dyDescent="0.2">
      <c r="C20" s="81" t="s">
        <v>315</v>
      </c>
      <c r="E20" s="77">
        <v>1</v>
      </c>
      <c r="F20" s="77">
        <v>6</v>
      </c>
      <c r="G20" s="77">
        <v>9</v>
      </c>
      <c r="H20" s="77">
        <v>12</v>
      </c>
      <c r="I20" s="77">
        <v>15</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row>
    <row r="21" spans="3:48" x14ac:dyDescent="0.2">
      <c r="C21" s="11" t="s">
        <v>312</v>
      </c>
      <c r="E21" s="75">
        <f>E20-E19</f>
        <v>-669.82400000000007</v>
      </c>
      <c r="F21" s="75">
        <f t="shared" ref="F21:I21" si="2">F20-F19</f>
        <v>-1659.048</v>
      </c>
      <c r="G21" s="75">
        <f t="shared" si="2"/>
        <v>-2832.3</v>
      </c>
      <c r="H21" s="75">
        <f t="shared" si="2"/>
        <v>-1260.348</v>
      </c>
      <c r="I21" s="75">
        <f t="shared" si="2"/>
        <v>-19.188000000000002</v>
      </c>
      <c r="J21" s="7">
        <v>18</v>
      </c>
      <c r="K21" s="7">
        <v>936</v>
      </c>
      <c r="L21" s="7">
        <v>1074</v>
      </c>
      <c r="M21" s="7">
        <v>993</v>
      </c>
      <c r="N21" s="7">
        <v>1003</v>
      </c>
      <c r="O21" s="10">
        <f>+N21-(($N$21-$S$21)/($S$18-$N$18))</f>
        <v>1016</v>
      </c>
      <c r="P21" s="10">
        <f>+O21-(($N$21-$S$21)/($S$18-$N$18))</f>
        <v>1029</v>
      </c>
      <c r="Q21" s="10">
        <f>+P21-(($N$21-$S$21)/($S$18-$N$18))</f>
        <v>1042</v>
      </c>
      <c r="R21" s="10">
        <f>+Q21-(($N$21-$S$21)/($S$18-$N$18))</f>
        <v>1055</v>
      </c>
      <c r="S21" s="7">
        <v>1068</v>
      </c>
      <c r="T21" s="10">
        <f t="shared" ref="T21:AB21" si="3">+S21-(($S$21-$AC$21)/($AC$18-$S$18))</f>
        <v>1095.2</v>
      </c>
      <c r="U21" s="10">
        <f t="shared" si="3"/>
        <v>1122.4000000000001</v>
      </c>
      <c r="V21" s="10">
        <f t="shared" si="3"/>
        <v>1149.6000000000001</v>
      </c>
      <c r="W21" s="10">
        <f t="shared" si="3"/>
        <v>1176.8000000000002</v>
      </c>
      <c r="X21" s="10">
        <f t="shared" si="3"/>
        <v>1204.0000000000002</v>
      </c>
      <c r="Y21" s="10">
        <f t="shared" si="3"/>
        <v>1231.2000000000003</v>
      </c>
      <c r="Z21" s="10">
        <f t="shared" si="3"/>
        <v>1258.4000000000003</v>
      </c>
      <c r="AA21" s="10">
        <f t="shared" si="3"/>
        <v>1285.6000000000004</v>
      </c>
      <c r="AB21" s="10">
        <f t="shared" si="3"/>
        <v>1312.8000000000004</v>
      </c>
      <c r="AC21" s="7">
        <v>1340</v>
      </c>
      <c r="AD21" s="10">
        <f t="shared" ref="AD21:AL21" si="4">+AC21-(($AC$21-$AM$21)/($AM$18-$AC$18))</f>
        <v>1247.7</v>
      </c>
      <c r="AE21" s="10">
        <f t="shared" si="4"/>
        <v>1155.4000000000001</v>
      </c>
      <c r="AF21" s="10">
        <f t="shared" si="4"/>
        <v>1063.1000000000001</v>
      </c>
      <c r="AG21" s="10">
        <f t="shared" si="4"/>
        <v>970.80000000000018</v>
      </c>
      <c r="AH21" s="10">
        <f t="shared" si="4"/>
        <v>878.50000000000023</v>
      </c>
      <c r="AI21" s="10">
        <f t="shared" si="4"/>
        <v>786.20000000000027</v>
      </c>
      <c r="AJ21" s="10">
        <f t="shared" si="4"/>
        <v>693.90000000000032</v>
      </c>
      <c r="AK21" s="10">
        <f t="shared" si="4"/>
        <v>601.60000000000036</v>
      </c>
      <c r="AL21" s="10">
        <f t="shared" si="4"/>
        <v>509.30000000000035</v>
      </c>
      <c r="AM21" s="7">
        <v>417</v>
      </c>
      <c r="AN21" s="10">
        <f t="shared" ref="AN21:AU21" si="5">+AM21-(($AM$21-$AV$21)/($AV$18-$AM$18))</f>
        <v>379.44444444444446</v>
      </c>
      <c r="AO21" s="10">
        <f t="shared" si="5"/>
        <v>341.88888888888891</v>
      </c>
      <c r="AP21" s="10">
        <f t="shared" si="5"/>
        <v>304.33333333333337</v>
      </c>
      <c r="AQ21" s="10">
        <f t="shared" si="5"/>
        <v>266.77777777777783</v>
      </c>
      <c r="AR21" s="10">
        <f t="shared" si="5"/>
        <v>229.22222222222229</v>
      </c>
      <c r="AS21" s="10">
        <f t="shared" si="5"/>
        <v>191.66666666666674</v>
      </c>
      <c r="AT21" s="10">
        <f t="shared" si="5"/>
        <v>154.1111111111112</v>
      </c>
      <c r="AU21" s="10">
        <f t="shared" si="5"/>
        <v>116.55555555555564</v>
      </c>
      <c r="AV21" s="7">
        <v>79</v>
      </c>
    </row>
    <row r="22" spans="3:48" x14ac:dyDescent="0.2">
      <c r="C22" s="11" t="s">
        <v>311</v>
      </c>
      <c r="E22" s="75">
        <v>0</v>
      </c>
      <c r="F22" s="75">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c r="AU22" s="7">
        <v>0</v>
      </c>
      <c r="AV22" s="7">
        <v>0</v>
      </c>
    </row>
    <row r="23" spans="3:48" s="5" customFormat="1" x14ac:dyDescent="0.2">
      <c r="C23" s="12" t="str">
        <f>+CONCATENATE("Facteur d'escompte @ ",E10*100,"%")</f>
        <v>Facteur d'escompte @ 10%</v>
      </c>
      <c r="E23" s="6">
        <f t="shared" ref="E23:AV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1.8260271200148705E-2</v>
      </c>
      <c r="AV23" s="6">
        <f t="shared" si="6"/>
        <v>1.6600246545589729E-2</v>
      </c>
    </row>
    <row r="24" spans="3:48" x14ac:dyDescent="0.2">
      <c r="C24" s="20" t="s">
        <v>303</v>
      </c>
      <c r="D24" s="21"/>
      <c r="E24" s="22">
        <f>(E22+E21)*E23</f>
        <v>-669.82400000000007</v>
      </c>
      <c r="F24" s="22">
        <f>(F22+F21)*F23</f>
        <v>-1508.2254545454546</v>
      </c>
      <c r="G24" s="22">
        <f t="shared" ref="G24:AV24" si="7">(G22+G21)*G23</f>
        <v>-2340.7438016528927</v>
      </c>
      <c r="H24" s="22">
        <f t="shared" si="7"/>
        <v>-946.91810668670144</v>
      </c>
      <c r="I24" s="22">
        <f t="shared" si="7"/>
        <v>-13.105662181544975</v>
      </c>
      <c r="J24" s="22">
        <f t="shared" si="7"/>
        <v>11.176583815064788</v>
      </c>
      <c r="K24" s="22">
        <f t="shared" si="7"/>
        <v>528.34759853033552</v>
      </c>
      <c r="L24" s="22">
        <f t="shared" si="7"/>
        <v>551.1318189797787</v>
      </c>
      <c r="M24" s="22">
        <f t="shared" si="7"/>
        <v>463.241828548265</v>
      </c>
      <c r="N24" s="22">
        <f t="shared" si="7"/>
        <v>425.36991122760213</v>
      </c>
      <c r="O24" s="22">
        <f t="shared" si="7"/>
        <v>391.71198206040395</v>
      </c>
      <c r="P24" s="22">
        <f t="shared" si="7"/>
        <v>360.65822256635255</v>
      </c>
      <c r="Q24" s="22">
        <f t="shared" si="7"/>
        <v>332.01331205419154</v>
      </c>
      <c r="R24" s="22">
        <f t="shared" si="7"/>
        <v>305.5959206222056</v>
      </c>
      <c r="S24" s="22">
        <f t="shared" si="7"/>
        <v>281.23777959889316</v>
      </c>
      <c r="T24" s="22">
        <f t="shared" si="7"/>
        <v>262.18217246910774</v>
      </c>
      <c r="U24" s="22">
        <f t="shared" si="7"/>
        <v>244.26694201086272</v>
      </c>
      <c r="V24" s="22">
        <f t="shared" si="7"/>
        <v>227.44223136759524</v>
      </c>
      <c r="W24" s="22">
        <f t="shared" si="7"/>
        <v>211.65782396516263</v>
      </c>
      <c r="X24" s="22">
        <f t="shared" si="7"/>
        <v>196.86362095517563</v>
      </c>
      <c r="Y24" s="22">
        <f t="shared" si="7"/>
        <v>183.0100348233255</v>
      </c>
      <c r="Z24" s="22">
        <f t="shared" si="7"/>
        <v>170.04831045962018</v>
      </c>
      <c r="AA24" s="22">
        <f t="shared" si="7"/>
        <v>157.93078362631312</v>
      </c>
      <c r="AB24" s="22">
        <f t="shared" si="7"/>
        <v>146.61108555228819</v>
      </c>
      <c r="AC24" s="22">
        <f t="shared" si="7"/>
        <v>136.04430131299245</v>
      </c>
      <c r="AD24" s="22">
        <f t="shared" si="7"/>
        <v>115.15771692552282</v>
      </c>
      <c r="AE24" s="22">
        <f t="shared" si="7"/>
        <v>96.944360267072554</v>
      </c>
      <c r="AF24" s="22">
        <f t="shared" si="7"/>
        <v>81.090806332261806</v>
      </c>
      <c r="AG24" s="22">
        <f t="shared" si="7"/>
        <v>67.318523689176388</v>
      </c>
      <c r="AH24" s="22">
        <f t="shared" si="7"/>
        <v>55.380120482583678</v>
      </c>
      <c r="AI24" s="22">
        <f t="shared" si="7"/>
        <v>45.055984605378271</v>
      </c>
      <c r="AJ24" s="22">
        <f t="shared" si="7"/>
        <v>36.151277396073155</v>
      </c>
      <c r="AK24" s="22">
        <f t="shared" si="7"/>
        <v>28.493244352051789</v>
      </c>
      <c r="AL24" s="22">
        <f t="shared" si="7"/>
        <v>21.92881006482709</v>
      </c>
      <c r="AM24" s="22">
        <f t="shared" si="7"/>
        <v>16.322427926089091</v>
      </c>
      <c r="AN24" s="22">
        <f t="shared" si="7"/>
        <v>13.50219009461382</v>
      </c>
      <c r="AO24" s="22">
        <f t="shared" si="7"/>
        <v>11.05982667938952</v>
      </c>
      <c r="AP24" s="22">
        <f t="shared" si="7"/>
        <v>8.9499409917711734</v>
      </c>
      <c r="AQ24" s="22">
        <f t="shared" si="7"/>
        <v>7.1322673574438529</v>
      </c>
      <c r="AR24" s="22">
        <f t="shared" si="7"/>
        <v>5.5711133839713263</v>
      </c>
      <c r="AS24" s="22">
        <f t="shared" si="7"/>
        <v>4.2348612291678229</v>
      </c>
      <c r="AT24" s="22">
        <f t="shared" si="7"/>
        <v>3.0955217522296548</v>
      </c>
      <c r="AU24" s="22">
        <f t="shared" si="7"/>
        <v>2.1283360543284449</v>
      </c>
      <c r="AV24" s="22">
        <f t="shared" si="7"/>
        <v>1.3114194771015886</v>
      </c>
    </row>
    <row r="25" spans="3:48" s="5" customFormat="1" x14ac:dyDescent="0.2">
      <c r="C25" s="12" t="s">
        <v>313</v>
      </c>
      <c r="E25" s="24">
        <f>+SUM($E$24:E24)</f>
        <v>-669.82400000000007</v>
      </c>
      <c r="F25" s="24">
        <f>+SUM($E$24:F24)</f>
        <v>-2178.0494545454549</v>
      </c>
      <c r="G25" s="24">
        <f>+SUM($E$24:G24)</f>
        <v>-4518.7932561983471</v>
      </c>
      <c r="H25" s="24">
        <f>+SUM($E$24:H24)</f>
        <v>-5465.7113628850484</v>
      </c>
      <c r="I25" s="24">
        <f>+SUM($E$24:I24)</f>
        <v>-5478.8170250665935</v>
      </c>
      <c r="J25" s="24">
        <f>+SUM($E$24:J24)</f>
        <v>-5467.6404412515285</v>
      </c>
      <c r="K25" s="24">
        <f>+SUM($E$24:K24)</f>
        <v>-4939.2928427211928</v>
      </c>
      <c r="L25" s="24">
        <f>+SUM($E$24:L24)</f>
        <v>-4388.1610237414143</v>
      </c>
      <c r="M25" s="24">
        <f>+SUM($E$24:M24)</f>
        <v>-3924.9191951931493</v>
      </c>
      <c r="N25" s="24">
        <f>+SUM($E$24:N24)</f>
        <v>-3499.5492839655471</v>
      </c>
      <c r="O25" s="24">
        <f>+SUM($E$24:O24)</f>
        <v>-3107.8373019051432</v>
      </c>
      <c r="P25" s="24">
        <f>+SUM($E$24:P24)</f>
        <v>-2747.1790793387909</v>
      </c>
      <c r="Q25" s="24">
        <f>+SUM($E$24:Q24)</f>
        <v>-2415.1657672845995</v>
      </c>
      <c r="R25" s="24">
        <f>+SUM($E$24:R24)</f>
        <v>-2109.569846662394</v>
      </c>
      <c r="S25" s="24">
        <f>+SUM($E$24:S24)</f>
        <v>-1828.3320670635007</v>
      </c>
      <c r="T25" s="24">
        <f>+SUM($E$24:T24)</f>
        <v>-1566.1498945943931</v>
      </c>
      <c r="U25" s="24">
        <f>+SUM($E$24:U24)</f>
        <v>-1321.8829525835304</v>
      </c>
      <c r="V25" s="24">
        <f>+SUM($E$24:V24)</f>
        <v>-1094.4407212159351</v>
      </c>
      <c r="W25" s="24">
        <f>+SUM($E$24:W24)</f>
        <v>-882.78289725077252</v>
      </c>
      <c r="X25" s="24">
        <f>+SUM($E$24:X24)</f>
        <v>-685.91927629559689</v>
      </c>
      <c r="Y25" s="24">
        <f>+SUM($E$24:Y24)</f>
        <v>-502.90924147227139</v>
      </c>
      <c r="Z25" s="24">
        <f>+SUM($E$24:Z24)</f>
        <v>-332.86093101265124</v>
      </c>
      <c r="AA25" s="24">
        <f>+SUM($E$24:AA24)</f>
        <v>-174.93014738633812</v>
      </c>
      <c r="AB25" s="24">
        <f>+SUM($E$24:AB24)</f>
        <v>-28.319061834049933</v>
      </c>
      <c r="AC25" s="24">
        <f>+SUM($E$24:AC24)</f>
        <v>107.72523947894251</v>
      </c>
      <c r="AD25" s="24">
        <f>+SUM($E$24:AD24)</f>
        <v>222.88295640446535</v>
      </c>
      <c r="AE25" s="24">
        <f>+SUM($E$24:AE24)</f>
        <v>319.82731667153791</v>
      </c>
      <c r="AF25" s="24">
        <f>+SUM($E$24:AF24)</f>
        <v>400.91812300379974</v>
      </c>
      <c r="AG25" s="24">
        <f>+SUM($E$24:AG24)</f>
        <v>468.23664669297614</v>
      </c>
      <c r="AH25" s="24">
        <f>+SUM($E$24:AH24)</f>
        <v>523.61676717555986</v>
      </c>
      <c r="AI25" s="24">
        <f>+SUM($E$24:AI24)</f>
        <v>568.67275178093814</v>
      </c>
      <c r="AJ25" s="24">
        <f>+SUM($E$24:AJ24)</f>
        <v>604.82402917701131</v>
      </c>
      <c r="AK25" s="24">
        <f>+SUM($E$24:AK24)</f>
        <v>633.31727352906307</v>
      </c>
      <c r="AL25" s="24">
        <f>+SUM($E$24:AL24)</f>
        <v>655.24608359389015</v>
      </c>
      <c r="AM25" s="24">
        <f>+SUM($E$24:AM24)</f>
        <v>671.56851151997921</v>
      </c>
      <c r="AN25" s="24">
        <f>+SUM($E$24:AN24)</f>
        <v>685.07070161459308</v>
      </c>
      <c r="AO25" s="24">
        <f>+SUM($E$24:AO24)</f>
        <v>696.13052829398259</v>
      </c>
      <c r="AP25" s="24">
        <f>+SUM($E$24:AP24)</f>
        <v>705.08046928575379</v>
      </c>
      <c r="AQ25" s="24">
        <f>+SUM($E$24:AQ24)</f>
        <v>712.21273664319767</v>
      </c>
      <c r="AR25" s="24">
        <f>+SUM($E$24:AR24)</f>
        <v>717.78385002716902</v>
      </c>
      <c r="AS25" s="24">
        <f>+SUM($E$24:AS24)</f>
        <v>722.01871125633681</v>
      </c>
      <c r="AT25" s="24">
        <f>+SUM($E$24:AT24)</f>
        <v>725.11423300856643</v>
      </c>
      <c r="AU25" s="24">
        <f>+SUM($E$24:AU24)</f>
        <v>727.24256906289486</v>
      </c>
      <c r="AV25" s="24">
        <f>+SUM($E$24:AV24)</f>
        <v>728.55398853999645</v>
      </c>
    </row>
  </sheetData>
  <pageMargins left="0.7" right="0.7" top="0.75" bottom="0.75" header="0.3" footer="0.3"/>
  <pageSetup scale="30" orientation="landscape"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999B-8647-4C24-9190-0FF4BBBFD8CF}">
  <sheetPr codeName="Sheet12"/>
  <dimension ref="C2:AV23"/>
  <sheetViews>
    <sheetView showGridLines="0" view="pageBreakPreview" zoomScaleNormal="100" zoomScaleSheetLayoutView="100" workbookViewId="0">
      <selection activeCell="E10" sqref="E10"/>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6.7109375" bestFit="1"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464</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+SUM(E22:AV22)</f>
        <v>306.24103614603462</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-1087.7589638539653</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8" x14ac:dyDescent="0.2">
      <c r="E17" s="1"/>
      <c r="F17" s="1"/>
      <c r="G17" s="1"/>
      <c r="H17" s="1"/>
      <c r="I17" s="1"/>
      <c r="J17" s="1"/>
      <c r="K17" s="1"/>
      <c r="L17" s="1"/>
      <c r="M17" s="1"/>
      <c r="N17" s="1"/>
      <c r="O17" s="1"/>
      <c r="P17" s="1"/>
    </row>
    <row r="18" spans="3:48"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c r="AV18" s="3">
        <v>2061</v>
      </c>
    </row>
    <row r="19" spans="3:48" x14ac:dyDescent="0.2">
      <c r="C19" s="11" t="s">
        <v>312</v>
      </c>
      <c r="E19" s="7">
        <v>-724</v>
      </c>
      <c r="F19" s="7">
        <v>-1796</v>
      </c>
      <c r="G19" s="7">
        <v>-3066</v>
      </c>
      <c r="H19" s="7">
        <v>-1365</v>
      </c>
      <c r="I19" s="7">
        <v>22</v>
      </c>
      <c r="J19" s="7">
        <v>18</v>
      </c>
      <c r="K19" s="7">
        <v>936</v>
      </c>
      <c r="L19" s="7">
        <v>1074</v>
      </c>
      <c r="M19" s="7">
        <v>993</v>
      </c>
      <c r="N19" s="7">
        <v>1003</v>
      </c>
      <c r="O19" s="10">
        <f>+N19-(($N$19-$S$19)/($S$18-$N$18))</f>
        <v>1016</v>
      </c>
      <c r="P19" s="10">
        <f t="shared" ref="P19:R19" si="2">+O19-(($N$19-$S$19)/($S$18-$N$18))</f>
        <v>1029</v>
      </c>
      <c r="Q19" s="10">
        <f t="shared" si="2"/>
        <v>1042</v>
      </c>
      <c r="R19" s="10">
        <f t="shared" si="2"/>
        <v>1055</v>
      </c>
      <c r="S19" s="7">
        <v>1068</v>
      </c>
      <c r="T19" s="10">
        <f>+S19-(($S$19-$AC$19)/($AC$18-$S$18))</f>
        <v>1095.2</v>
      </c>
      <c r="U19" s="10">
        <f t="shared" ref="U19:AB19" si="3">+T19-(($S$19-$AC$19)/($AC$18-$S$18))</f>
        <v>1122.4000000000001</v>
      </c>
      <c r="V19" s="10">
        <f t="shared" si="3"/>
        <v>1149.6000000000001</v>
      </c>
      <c r="W19" s="10">
        <f t="shared" si="3"/>
        <v>1176.8000000000002</v>
      </c>
      <c r="X19" s="10">
        <f t="shared" si="3"/>
        <v>1204.0000000000002</v>
      </c>
      <c r="Y19" s="10">
        <f t="shared" si="3"/>
        <v>1231.2000000000003</v>
      </c>
      <c r="Z19" s="10">
        <f t="shared" si="3"/>
        <v>1258.4000000000003</v>
      </c>
      <c r="AA19" s="10">
        <f t="shared" si="3"/>
        <v>1285.6000000000004</v>
      </c>
      <c r="AB19" s="10">
        <f t="shared" si="3"/>
        <v>1312.8000000000004</v>
      </c>
      <c r="AC19" s="7">
        <v>1340</v>
      </c>
      <c r="AD19" s="10">
        <f>+AC19-(($AC$19-$AM$19)/($AM$18-$AC$18))</f>
        <v>1247.7</v>
      </c>
      <c r="AE19" s="10">
        <f t="shared" ref="AE19:AL19" si="4">+AD19-(($AC$19-$AM$19)/($AM$18-$AC$18))</f>
        <v>1155.4000000000001</v>
      </c>
      <c r="AF19" s="10">
        <f t="shared" si="4"/>
        <v>1063.1000000000001</v>
      </c>
      <c r="AG19" s="10">
        <f t="shared" si="4"/>
        <v>970.80000000000018</v>
      </c>
      <c r="AH19" s="10">
        <f t="shared" si="4"/>
        <v>878.50000000000023</v>
      </c>
      <c r="AI19" s="10">
        <f t="shared" si="4"/>
        <v>786.20000000000027</v>
      </c>
      <c r="AJ19" s="10">
        <f t="shared" si="4"/>
        <v>693.90000000000032</v>
      </c>
      <c r="AK19" s="10">
        <f t="shared" si="4"/>
        <v>601.60000000000036</v>
      </c>
      <c r="AL19" s="10">
        <f t="shared" si="4"/>
        <v>509.30000000000035</v>
      </c>
      <c r="AM19" s="7">
        <v>417</v>
      </c>
      <c r="AN19" s="10">
        <f>+AM19-(($AM$19-$AV$19)/($AV$18-$AM$18))</f>
        <v>379.44444444444446</v>
      </c>
      <c r="AO19" s="10">
        <f t="shared" ref="AO19:AU19" si="5">+AN19-(($AM$19-$AV$19)/($AV$18-$AM$18))</f>
        <v>341.88888888888891</v>
      </c>
      <c r="AP19" s="10">
        <f t="shared" si="5"/>
        <v>304.33333333333337</v>
      </c>
      <c r="AQ19" s="10">
        <f t="shared" si="5"/>
        <v>266.77777777777783</v>
      </c>
      <c r="AR19" s="10">
        <f t="shared" si="5"/>
        <v>229.22222222222229</v>
      </c>
      <c r="AS19" s="10">
        <f t="shared" si="5"/>
        <v>191.66666666666674</v>
      </c>
      <c r="AT19" s="10">
        <f t="shared" si="5"/>
        <v>154.1111111111112</v>
      </c>
      <c r="AU19" s="10">
        <f t="shared" si="5"/>
        <v>116.55555555555564</v>
      </c>
      <c r="AV19" s="7">
        <v>79</v>
      </c>
    </row>
    <row r="20" spans="3:48" x14ac:dyDescent="0.2">
      <c r="C20" s="11" t="s">
        <v>311</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row>
    <row r="21" spans="3:48" s="5" customFormat="1" x14ac:dyDescent="0.2">
      <c r="C21" s="12" t="str">
        <f>+CONCATENATE("Facteur d'escompte @ ",E10*100,"%")</f>
        <v>Facteur d'escompte @ 10%</v>
      </c>
      <c r="E21" s="6">
        <f t="shared" ref="E21:AT21" si="6">+(1+$E$10)^-(E18-($E$18))</f>
        <v>1</v>
      </c>
      <c r="F21" s="6">
        <f t="shared" si="6"/>
        <v>0.90909090909090906</v>
      </c>
      <c r="G21" s="6">
        <f t="shared" si="6"/>
        <v>0.82644628099173545</v>
      </c>
      <c r="H21" s="6">
        <f t="shared" si="6"/>
        <v>0.75131480090157754</v>
      </c>
      <c r="I21" s="6">
        <f t="shared" si="6"/>
        <v>0.68301345536507052</v>
      </c>
      <c r="J21" s="6">
        <f t="shared" si="6"/>
        <v>0.62092132305915493</v>
      </c>
      <c r="K21" s="6">
        <f t="shared" si="6"/>
        <v>0.56447393005377722</v>
      </c>
      <c r="L21" s="6">
        <f t="shared" si="6"/>
        <v>0.51315811823070645</v>
      </c>
      <c r="M21" s="6">
        <f t="shared" si="6"/>
        <v>0.46650738020973315</v>
      </c>
      <c r="N21" s="6">
        <f t="shared" si="6"/>
        <v>0.42409761837248466</v>
      </c>
      <c r="O21" s="6">
        <f t="shared" si="6"/>
        <v>0.38554328942953148</v>
      </c>
      <c r="P21" s="6">
        <f t="shared" si="6"/>
        <v>0.3504938994813922</v>
      </c>
      <c r="Q21" s="6">
        <f t="shared" si="6"/>
        <v>0.31863081771035656</v>
      </c>
      <c r="R21" s="6">
        <f t="shared" si="6"/>
        <v>0.28966437973668779</v>
      </c>
      <c r="S21" s="6">
        <f t="shared" si="6"/>
        <v>0.26333125430607973</v>
      </c>
      <c r="T21" s="6">
        <f t="shared" si="6"/>
        <v>0.23939204936916339</v>
      </c>
      <c r="U21" s="6">
        <f t="shared" si="6"/>
        <v>0.21762913579014853</v>
      </c>
      <c r="V21" s="6">
        <f t="shared" si="6"/>
        <v>0.19784466890013502</v>
      </c>
      <c r="W21" s="6">
        <f t="shared" si="6"/>
        <v>0.17985878990921364</v>
      </c>
      <c r="X21" s="6">
        <f t="shared" si="6"/>
        <v>0.16350799082655781</v>
      </c>
      <c r="Y21" s="6">
        <f t="shared" si="6"/>
        <v>0.14864362802414349</v>
      </c>
      <c r="Z21" s="6">
        <f t="shared" si="6"/>
        <v>0.13513057093103953</v>
      </c>
      <c r="AA21" s="6">
        <f t="shared" si="6"/>
        <v>0.12284597357367227</v>
      </c>
      <c r="AB21" s="6">
        <f t="shared" si="6"/>
        <v>0.11167815779424752</v>
      </c>
      <c r="AC21" s="6">
        <f t="shared" si="6"/>
        <v>0.10152559799477048</v>
      </c>
      <c r="AD21" s="6">
        <f t="shared" si="6"/>
        <v>9.2295998177064048E-2</v>
      </c>
      <c r="AE21" s="6">
        <f t="shared" si="6"/>
        <v>8.3905452888240042E-2</v>
      </c>
      <c r="AF21" s="6">
        <f t="shared" si="6"/>
        <v>7.6277684443854576E-2</v>
      </c>
      <c r="AG21" s="6">
        <f t="shared" si="6"/>
        <v>6.9343349494413245E-2</v>
      </c>
      <c r="AH21" s="6">
        <f t="shared" si="6"/>
        <v>6.3039408631284766E-2</v>
      </c>
      <c r="AI21" s="6">
        <f t="shared" si="6"/>
        <v>5.7308553301167964E-2</v>
      </c>
      <c r="AJ21" s="6">
        <f t="shared" si="6"/>
        <v>5.2098684819243603E-2</v>
      </c>
      <c r="AK21" s="6">
        <f t="shared" si="6"/>
        <v>4.7362440744766907E-2</v>
      </c>
      <c r="AL21" s="6">
        <f t="shared" si="6"/>
        <v>4.3056764313424457E-2</v>
      </c>
      <c r="AM21" s="6">
        <f t="shared" si="6"/>
        <v>3.9142513012204054E-2</v>
      </c>
      <c r="AN21" s="6">
        <f t="shared" si="6"/>
        <v>3.5584102738367311E-2</v>
      </c>
      <c r="AO21" s="6">
        <f t="shared" si="6"/>
        <v>3.2349184307606652E-2</v>
      </c>
      <c r="AP21" s="6">
        <f t="shared" si="6"/>
        <v>2.94083493705515E-2</v>
      </c>
      <c r="AQ21" s="6">
        <f t="shared" si="6"/>
        <v>2.6734863064137721E-2</v>
      </c>
      <c r="AR21" s="6">
        <f t="shared" si="6"/>
        <v>2.4304420967397926E-2</v>
      </c>
      <c r="AS21" s="6">
        <f t="shared" si="6"/>
        <v>2.2094928152179935E-2</v>
      </c>
      <c r="AT21" s="6">
        <f t="shared" si="6"/>
        <v>2.0086298320163575E-2</v>
      </c>
      <c r="AU21" s="6">
        <f t="shared" ref="AU21:AV21" si="7">+(1+$E$10)^-(AU18-($E$18))</f>
        <v>1.8260271200148705E-2</v>
      </c>
      <c r="AV21" s="6">
        <f t="shared" si="7"/>
        <v>1.6600246545589729E-2</v>
      </c>
    </row>
    <row r="22" spans="3:48" x14ac:dyDescent="0.2">
      <c r="C22" s="20" t="s">
        <v>303</v>
      </c>
      <c r="D22" s="21"/>
      <c r="E22" s="22">
        <f>(E20+E19)*E21</f>
        <v>-724</v>
      </c>
      <c r="F22" s="22">
        <f>(F20+F19)*F21</f>
        <v>-1632.7272727272727</v>
      </c>
      <c r="G22" s="22">
        <f t="shared" ref="G22:O22" si="8">(G20+G19)*G21</f>
        <v>-2533.8842975206608</v>
      </c>
      <c r="H22" s="22">
        <f t="shared" si="8"/>
        <v>-1025.5447032306533</v>
      </c>
      <c r="I22" s="22">
        <f t="shared" si="8"/>
        <v>15.026296018031552</v>
      </c>
      <c r="J22" s="22">
        <f t="shared" si="8"/>
        <v>11.176583815064788</v>
      </c>
      <c r="K22" s="22">
        <f t="shared" si="8"/>
        <v>528.34759853033552</v>
      </c>
      <c r="L22" s="22">
        <f t="shared" si="8"/>
        <v>551.1318189797787</v>
      </c>
      <c r="M22" s="22">
        <f t="shared" si="8"/>
        <v>463.241828548265</v>
      </c>
      <c r="N22" s="22">
        <f t="shared" si="8"/>
        <v>425.36991122760213</v>
      </c>
      <c r="O22" s="22">
        <f t="shared" si="8"/>
        <v>391.71198206040395</v>
      </c>
      <c r="P22" s="22">
        <f t="shared" ref="P22:AV22" si="9">(P20+P19)*P21</f>
        <v>360.65822256635255</v>
      </c>
      <c r="Q22" s="22">
        <f t="shared" si="9"/>
        <v>332.01331205419154</v>
      </c>
      <c r="R22" s="22">
        <f t="shared" si="9"/>
        <v>305.5959206222056</v>
      </c>
      <c r="S22" s="22">
        <f t="shared" si="9"/>
        <v>281.23777959889316</v>
      </c>
      <c r="T22" s="22">
        <f t="shared" si="9"/>
        <v>262.18217246910774</v>
      </c>
      <c r="U22" s="22">
        <f t="shared" si="9"/>
        <v>244.26694201086272</v>
      </c>
      <c r="V22" s="22">
        <f t="shared" si="9"/>
        <v>227.44223136759524</v>
      </c>
      <c r="W22" s="22">
        <f t="shared" si="9"/>
        <v>211.65782396516263</v>
      </c>
      <c r="X22" s="22">
        <f t="shared" si="9"/>
        <v>196.86362095517563</v>
      </c>
      <c r="Y22" s="22">
        <f t="shared" si="9"/>
        <v>183.0100348233255</v>
      </c>
      <c r="Z22" s="22">
        <f t="shared" si="9"/>
        <v>170.04831045962018</v>
      </c>
      <c r="AA22" s="22">
        <f t="shared" si="9"/>
        <v>157.93078362631312</v>
      </c>
      <c r="AB22" s="22">
        <f t="shared" si="9"/>
        <v>146.61108555228819</v>
      </c>
      <c r="AC22" s="22">
        <f t="shared" si="9"/>
        <v>136.04430131299245</v>
      </c>
      <c r="AD22" s="22">
        <f t="shared" si="9"/>
        <v>115.15771692552282</v>
      </c>
      <c r="AE22" s="22">
        <f t="shared" si="9"/>
        <v>96.944360267072554</v>
      </c>
      <c r="AF22" s="22">
        <f t="shared" si="9"/>
        <v>81.090806332261806</v>
      </c>
      <c r="AG22" s="22">
        <f t="shared" si="9"/>
        <v>67.318523689176388</v>
      </c>
      <c r="AH22" s="22">
        <f t="shared" si="9"/>
        <v>55.380120482583678</v>
      </c>
      <c r="AI22" s="22">
        <f t="shared" si="9"/>
        <v>45.055984605378271</v>
      </c>
      <c r="AJ22" s="22">
        <f t="shared" si="9"/>
        <v>36.151277396073155</v>
      </c>
      <c r="AK22" s="22">
        <f t="shared" si="9"/>
        <v>28.493244352051789</v>
      </c>
      <c r="AL22" s="22">
        <f t="shared" si="9"/>
        <v>21.92881006482709</v>
      </c>
      <c r="AM22" s="22">
        <f t="shared" si="9"/>
        <v>16.322427926089091</v>
      </c>
      <c r="AN22" s="22">
        <f t="shared" si="9"/>
        <v>13.50219009461382</v>
      </c>
      <c r="AO22" s="22">
        <f t="shared" si="9"/>
        <v>11.05982667938952</v>
      </c>
      <c r="AP22" s="22">
        <f t="shared" si="9"/>
        <v>8.9499409917711734</v>
      </c>
      <c r="AQ22" s="22">
        <f t="shared" si="9"/>
        <v>7.1322673574438529</v>
      </c>
      <c r="AR22" s="22">
        <f t="shared" si="9"/>
        <v>5.5711133839713263</v>
      </c>
      <c r="AS22" s="22">
        <f t="shared" si="9"/>
        <v>4.2348612291678229</v>
      </c>
      <c r="AT22" s="22">
        <f t="shared" si="9"/>
        <v>3.0955217522296548</v>
      </c>
      <c r="AU22" s="22">
        <f t="shared" si="9"/>
        <v>2.1283360543284449</v>
      </c>
      <c r="AV22" s="22">
        <f t="shared" si="9"/>
        <v>1.3114194771015886</v>
      </c>
    </row>
    <row r="23" spans="3:48" s="5" customFormat="1" x14ac:dyDescent="0.2">
      <c r="C23" s="12" t="s">
        <v>313</v>
      </c>
      <c r="E23" s="24">
        <f>+SUM($E$22:E22)</f>
        <v>-724</v>
      </c>
      <c r="F23" s="24">
        <f>+SUM($E$22:F22)</f>
        <v>-2356.727272727273</v>
      </c>
      <c r="G23" s="24">
        <f>+SUM($E$22:G22)</f>
        <v>-4890.6115702479337</v>
      </c>
      <c r="H23" s="24">
        <f>+SUM($E$22:H22)</f>
        <v>-5916.1562734785875</v>
      </c>
      <c r="I23" s="24">
        <f>+SUM($E$22:I22)</f>
        <v>-5901.1299774605559</v>
      </c>
      <c r="J23" s="24">
        <f>+SUM($E$22:J22)</f>
        <v>-5889.9533936454909</v>
      </c>
      <c r="K23" s="24">
        <f>+SUM($E$22:K22)</f>
        <v>-5361.6057951151552</v>
      </c>
      <c r="L23" s="24">
        <f>+SUM($E$22:L22)</f>
        <v>-4810.4739761353767</v>
      </c>
      <c r="M23" s="24">
        <f>+SUM($E$22:M22)</f>
        <v>-4347.2321475871113</v>
      </c>
      <c r="N23" s="24">
        <f>+SUM($E$22:N22)</f>
        <v>-3921.8622363595091</v>
      </c>
      <c r="O23" s="24">
        <f>+SUM($E$22:O22)</f>
        <v>-3530.1502542991052</v>
      </c>
      <c r="P23" s="24">
        <f>+SUM($E$22:P22)</f>
        <v>-3169.4920317327528</v>
      </c>
      <c r="Q23" s="24">
        <f>+SUM($E$22:Q22)</f>
        <v>-2837.4787196785614</v>
      </c>
      <c r="R23" s="24">
        <f>+SUM($E$22:R22)</f>
        <v>-2531.8827990563559</v>
      </c>
      <c r="S23" s="24">
        <f>+SUM($E$22:S22)</f>
        <v>-2250.6450194574627</v>
      </c>
      <c r="T23" s="24">
        <f>+SUM($E$22:T22)</f>
        <v>-1988.4628469883551</v>
      </c>
      <c r="U23" s="24">
        <f>+SUM($E$22:U22)</f>
        <v>-1744.1959049774923</v>
      </c>
      <c r="V23" s="24">
        <f>+SUM($E$22:V22)</f>
        <v>-1516.7536736098971</v>
      </c>
      <c r="W23" s="24">
        <f>+SUM($E$22:W22)</f>
        <v>-1305.0958496447345</v>
      </c>
      <c r="X23" s="24">
        <f>+SUM($E$22:X22)</f>
        <v>-1108.2322286895587</v>
      </c>
      <c r="Y23" s="24">
        <f>+SUM($E$22:Y22)</f>
        <v>-925.22219386623328</v>
      </c>
      <c r="Z23" s="24">
        <f>+SUM($E$22:Z22)</f>
        <v>-755.17388340661307</v>
      </c>
      <c r="AA23" s="24">
        <f>+SUM($E$22:AA22)</f>
        <v>-597.24309978029999</v>
      </c>
      <c r="AB23" s="24">
        <f>+SUM($E$22:AB22)</f>
        <v>-450.63201422801183</v>
      </c>
      <c r="AC23" s="24">
        <f>+SUM($E$22:AC22)</f>
        <v>-314.58771291501938</v>
      </c>
      <c r="AD23" s="24">
        <f>+SUM($E$22:AD22)</f>
        <v>-199.42999598949655</v>
      </c>
      <c r="AE23" s="24">
        <f>+SUM($E$22:AE22)</f>
        <v>-102.48563572242399</v>
      </c>
      <c r="AF23" s="24">
        <f>+SUM($E$22:AF22)</f>
        <v>-21.394829390162187</v>
      </c>
      <c r="AG23" s="24">
        <f>+SUM($E$22:AG22)</f>
        <v>45.923694299014201</v>
      </c>
      <c r="AH23" s="24">
        <f>+SUM($E$22:AH22)</f>
        <v>101.30381478159788</v>
      </c>
      <c r="AI23" s="24">
        <f>+SUM($E$22:AI22)</f>
        <v>146.35979938697614</v>
      </c>
      <c r="AJ23" s="24">
        <f>+SUM($E$22:AJ22)</f>
        <v>182.5110767830493</v>
      </c>
      <c r="AK23" s="24">
        <f>+SUM($E$22:AK22)</f>
        <v>211.00432113510109</v>
      </c>
      <c r="AL23" s="24">
        <f>+SUM($E$22:AL22)</f>
        <v>232.9331311999282</v>
      </c>
      <c r="AM23" s="24">
        <f>+SUM($E$22:AM22)</f>
        <v>249.25555912601729</v>
      </c>
      <c r="AN23" s="24">
        <f>+SUM($E$22:AN22)</f>
        <v>262.75774922063113</v>
      </c>
      <c r="AO23" s="24">
        <f>+SUM($E$22:AO22)</f>
        <v>273.81757590002064</v>
      </c>
      <c r="AP23" s="24">
        <f>+SUM($E$22:AP22)</f>
        <v>282.76751689179184</v>
      </c>
      <c r="AQ23" s="24">
        <f>+SUM($E$22:AQ22)</f>
        <v>289.89978424923572</v>
      </c>
      <c r="AR23" s="24">
        <f>+SUM($E$22:AR22)</f>
        <v>295.47089763320707</v>
      </c>
      <c r="AS23" s="24">
        <f>+SUM($E$22:AS22)</f>
        <v>299.70575886237492</v>
      </c>
      <c r="AT23" s="24">
        <f>+SUM($E$22:AT22)</f>
        <v>302.80128061460459</v>
      </c>
      <c r="AU23" s="24">
        <f>+SUM($E$22:AU22)</f>
        <v>304.92961666893302</v>
      </c>
      <c r="AV23" s="24">
        <f>+SUM($E$22:AV22)</f>
        <v>306.24103614603462</v>
      </c>
    </row>
  </sheetData>
  <pageMargins left="0.7" right="0.7" top="0.75" bottom="0.75" header="0.3" footer="0.3"/>
  <pageSetup scale="30" orientation="landscape"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29A5-ADDD-4720-9208-36BCB829D886}">
  <sheetPr codeName="Sheet17"/>
  <dimension ref="C2:AV25"/>
  <sheetViews>
    <sheetView showGridLines="0" view="pageBreakPreview" topLeftCell="A4" zoomScaleNormal="100" zoomScaleSheetLayoutView="100" workbookViewId="0">
      <selection activeCell="J41" sqref="J4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7.28515625" bestFit="1"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7">
        <f>+SUM(E24:AV24)</f>
        <v>-186.81844305784958</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-1580.8184430578497</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318</v>
      </c>
      <c r="AL16" s="15"/>
      <c r="AM16" s="15"/>
      <c r="AN16" s="15"/>
      <c r="AO16" s="15"/>
      <c r="AP16" s="15"/>
      <c r="AQ16" s="15"/>
      <c r="AR16" s="15"/>
      <c r="AS16" s="15"/>
      <c r="AT16" s="15"/>
    </row>
    <row r="17" spans="3:48" x14ac:dyDescent="0.2">
      <c r="E17" s="1"/>
      <c r="F17" s="1"/>
      <c r="G17" s="1"/>
      <c r="H17" s="1"/>
      <c r="I17" s="1"/>
      <c r="J17" s="1"/>
      <c r="K17" s="1"/>
      <c r="L17" s="1"/>
      <c r="M17" s="1"/>
      <c r="N17" s="1"/>
      <c r="O17" s="1"/>
      <c r="P17" s="1"/>
    </row>
    <row r="18" spans="3:48"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2059</v>
      </c>
      <c r="AV18" s="3">
        <v>2059</v>
      </c>
    </row>
    <row r="19" spans="3:48" s="73" customFormat="1" x14ac:dyDescent="0.2">
      <c r="C19" s="81" t="s">
        <v>308</v>
      </c>
      <c r="E19" s="77">
        <f>1.076*726</f>
        <v>781.17600000000004</v>
      </c>
      <c r="F19" s="77">
        <f>1.076*1802</f>
        <v>1938.9520000000002</v>
      </c>
      <c r="G19" s="77">
        <f>1.076*3075</f>
        <v>3308.7000000000003</v>
      </c>
      <c r="H19" s="77">
        <f>1.076*1377</f>
        <v>1481.652</v>
      </c>
      <c r="I19" s="77">
        <f>1.076*37</f>
        <v>39.812000000000005</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row>
    <row r="20" spans="3:48" s="73" customFormat="1" x14ac:dyDescent="0.2">
      <c r="C20" s="81" t="s">
        <v>315</v>
      </c>
      <c r="E20" s="77">
        <v>1</v>
      </c>
      <c r="F20" s="77">
        <v>6</v>
      </c>
      <c r="G20" s="77">
        <v>9</v>
      </c>
      <c r="H20" s="77">
        <v>12</v>
      </c>
      <c r="I20" s="77">
        <v>15</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row>
    <row r="21" spans="3:48" x14ac:dyDescent="0.2">
      <c r="C21" s="11" t="s">
        <v>312</v>
      </c>
      <c r="E21" s="75">
        <f>E20-E19</f>
        <v>-780.17600000000004</v>
      </c>
      <c r="F21" s="75">
        <f t="shared" ref="F21:I21" si="2">F20-F19</f>
        <v>-1932.9520000000002</v>
      </c>
      <c r="G21" s="75">
        <f t="shared" si="2"/>
        <v>-3299.7000000000003</v>
      </c>
      <c r="H21" s="75">
        <f t="shared" si="2"/>
        <v>-1469.652</v>
      </c>
      <c r="I21" s="75">
        <f t="shared" si="2"/>
        <v>-24.812000000000005</v>
      </c>
      <c r="J21" s="7">
        <v>18</v>
      </c>
      <c r="K21" s="7">
        <v>936</v>
      </c>
      <c r="L21" s="7">
        <v>1074</v>
      </c>
      <c r="M21" s="7">
        <v>993</v>
      </c>
      <c r="N21" s="7">
        <v>1003</v>
      </c>
      <c r="O21" s="10">
        <f>+N21-(($N$21-$S$21)/($S$18-$N$18))</f>
        <v>1016</v>
      </c>
      <c r="P21" s="10">
        <f>+O21-(($N$21-$S$21)/($S$18-$N$18))</f>
        <v>1029</v>
      </c>
      <c r="Q21" s="10">
        <f>+P21-(($N$21-$S$21)/($S$18-$N$18))</f>
        <v>1042</v>
      </c>
      <c r="R21" s="10">
        <f>+Q21-(($N$21-$S$21)/($S$18-$N$18))</f>
        <v>1055</v>
      </c>
      <c r="S21" s="7">
        <v>1068</v>
      </c>
      <c r="T21" s="10">
        <f t="shared" ref="T21:AB21" si="3">+S21-(($S$21-$AC$21)/($AC$18-$S$18))</f>
        <v>1095.2</v>
      </c>
      <c r="U21" s="10">
        <f t="shared" si="3"/>
        <v>1122.4000000000001</v>
      </c>
      <c r="V21" s="10">
        <f t="shared" si="3"/>
        <v>1149.6000000000001</v>
      </c>
      <c r="W21" s="10">
        <f t="shared" si="3"/>
        <v>1176.8000000000002</v>
      </c>
      <c r="X21" s="10">
        <f t="shared" si="3"/>
        <v>1204.0000000000002</v>
      </c>
      <c r="Y21" s="10">
        <f t="shared" si="3"/>
        <v>1231.2000000000003</v>
      </c>
      <c r="Z21" s="10">
        <f t="shared" si="3"/>
        <v>1258.4000000000003</v>
      </c>
      <c r="AA21" s="10">
        <f t="shared" si="3"/>
        <v>1285.6000000000004</v>
      </c>
      <c r="AB21" s="10">
        <f t="shared" si="3"/>
        <v>1312.8000000000004</v>
      </c>
      <c r="AC21" s="7">
        <v>1340</v>
      </c>
      <c r="AD21" s="10">
        <f t="shared" ref="AD21:AL21" si="4">+AC21-(($AC$21-$AM$21)/($AM$18-$AC$18))</f>
        <v>1247.7</v>
      </c>
      <c r="AE21" s="10">
        <f t="shared" si="4"/>
        <v>1155.4000000000001</v>
      </c>
      <c r="AF21" s="10">
        <f t="shared" si="4"/>
        <v>1063.1000000000001</v>
      </c>
      <c r="AG21" s="10">
        <f t="shared" si="4"/>
        <v>970.80000000000018</v>
      </c>
      <c r="AH21" s="10">
        <f t="shared" si="4"/>
        <v>878.50000000000023</v>
      </c>
      <c r="AI21" s="10">
        <f t="shared" si="4"/>
        <v>786.20000000000027</v>
      </c>
      <c r="AJ21" s="10">
        <f t="shared" si="4"/>
        <v>693.90000000000032</v>
      </c>
      <c r="AK21" s="10">
        <f t="shared" si="4"/>
        <v>601.60000000000036</v>
      </c>
      <c r="AL21" s="10">
        <f t="shared" si="4"/>
        <v>509.30000000000035</v>
      </c>
      <c r="AM21" s="7">
        <v>417</v>
      </c>
      <c r="AN21" s="10">
        <f t="shared" ref="AN21:AU21" si="5">+AM21-(($AM$21-$AV$21)/($AV$18-$AM$18))</f>
        <v>368.71428571428572</v>
      </c>
      <c r="AO21" s="10">
        <f t="shared" si="5"/>
        <v>320.42857142857144</v>
      </c>
      <c r="AP21" s="10">
        <f t="shared" si="5"/>
        <v>272.14285714285717</v>
      </c>
      <c r="AQ21" s="10">
        <f t="shared" si="5"/>
        <v>223.85714285714289</v>
      </c>
      <c r="AR21" s="10">
        <f t="shared" si="5"/>
        <v>175.57142857142861</v>
      </c>
      <c r="AS21" s="10">
        <f t="shared" si="5"/>
        <v>127.28571428571433</v>
      </c>
      <c r="AT21" s="10">
        <f t="shared" si="5"/>
        <v>79.000000000000057</v>
      </c>
      <c r="AU21" s="10">
        <f t="shared" si="5"/>
        <v>30.714285714285772</v>
      </c>
      <c r="AV21" s="7">
        <v>79</v>
      </c>
    </row>
    <row r="22" spans="3:48" x14ac:dyDescent="0.2">
      <c r="C22" s="11" t="s">
        <v>311</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c r="AU22" s="7">
        <v>0</v>
      </c>
      <c r="AV22" s="7">
        <v>0</v>
      </c>
    </row>
    <row r="23" spans="3:48" s="5" customFormat="1" x14ac:dyDescent="0.2">
      <c r="C23" s="12" t="str">
        <f>+CONCATENATE("Facteur d'escompte @ ",E10*100,"%")</f>
        <v>Facteur d'escompte @ 10%</v>
      </c>
      <c r="E23" s="6">
        <f t="shared" ref="E23:AV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2.0086298320163575E-2</v>
      </c>
      <c r="AV23" s="6">
        <f t="shared" si="6"/>
        <v>2.0086298320163575E-2</v>
      </c>
    </row>
    <row r="24" spans="3:48" x14ac:dyDescent="0.2">
      <c r="C24" s="20" t="s">
        <v>303</v>
      </c>
      <c r="D24" s="21"/>
      <c r="E24" s="22">
        <f>(E22+E21)*E23</f>
        <v>-780.17600000000004</v>
      </c>
      <c r="F24" s="22">
        <f>(F22+F21)*F23</f>
        <v>-1757.2290909090912</v>
      </c>
      <c r="G24" s="22">
        <f t="shared" ref="G24:AV24" si="7">(G22+G21)*G23</f>
        <v>-2727.0247933884298</v>
      </c>
      <c r="H24" s="22">
        <f t="shared" si="7"/>
        <v>-1104.1712997746054</v>
      </c>
      <c r="I24" s="22">
        <f t="shared" si="7"/>
        <v>-16.946929854518132</v>
      </c>
      <c r="J24" s="22">
        <f t="shared" si="7"/>
        <v>11.176583815064788</v>
      </c>
      <c r="K24" s="22">
        <f t="shared" si="7"/>
        <v>528.34759853033552</v>
      </c>
      <c r="L24" s="22">
        <f t="shared" si="7"/>
        <v>551.1318189797787</v>
      </c>
      <c r="M24" s="22">
        <f t="shared" si="7"/>
        <v>463.241828548265</v>
      </c>
      <c r="N24" s="22">
        <f t="shared" si="7"/>
        <v>425.36991122760213</v>
      </c>
      <c r="O24" s="22">
        <f t="shared" si="7"/>
        <v>391.71198206040395</v>
      </c>
      <c r="P24" s="22">
        <f t="shared" si="7"/>
        <v>360.65822256635255</v>
      </c>
      <c r="Q24" s="22">
        <f t="shared" si="7"/>
        <v>332.01331205419154</v>
      </c>
      <c r="R24" s="22">
        <f t="shared" si="7"/>
        <v>305.5959206222056</v>
      </c>
      <c r="S24" s="22">
        <f t="shared" si="7"/>
        <v>281.23777959889316</v>
      </c>
      <c r="T24" s="22">
        <f t="shared" si="7"/>
        <v>262.18217246910774</v>
      </c>
      <c r="U24" s="22">
        <f t="shared" si="7"/>
        <v>244.26694201086272</v>
      </c>
      <c r="V24" s="22">
        <f t="shared" si="7"/>
        <v>227.44223136759524</v>
      </c>
      <c r="W24" s="22">
        <f t="shared" si="7"/>
        <v>211.65782396516263</v>
      </c>
      <c r="X24" s="22">
        <f t="shared" si="7"/>
        <v>196.86362095517563</v>
      </c>
      <c r="Y24" s="22">
        <f t="shared" si="7"/>
        <v>183.0100348233255</v>
      </c>
      <c r="Z24" s="22">
        <f t="shared" si="7"/>
        <v>170.04831045962018</v>
      </c>
      <c r="AA24" s="22">
        <f t="shared" si="7"/>
        <v>157.93078362631312</v>
      </c>
      <c r="AB24" s="22">
        <f t="shared" si="7"/>
        <v>146.61108555228819</v>
      </c>
      <c r="AC24" s="22">
        <f t="shared" si="7"/>
        <v>136.04430131299245</v>
      </c>
      <c r="AD24" s="22">
        <f t="shared" si="7"/>
        <v>115.15771692552282</v>
      </c>
      <c r="AE24" s="22">
        <f t="shared" si="7"/>
        <v>96.944360267072554</v>
      </c>
      <c r="AF24" s="22">
        <f t="shared" si="7"/>
        <v>81.090806332261806</v>
      </c>
      <c r="AG24" s="22">
        <f t="shared" si="7"/>
        <v>67.318523689176388</v>
      </c>
      <c r="AH24" s="22">
        <f t="shared" si="7"/>
        <v>55.380120482583678</v>
      </c>
      <c r="AI24" s="22">
        <f t="shared" si="7"/>
        <v>45.055984605378271</v>
      </c>
      <c r="AJ24" s="22">
        <f t="shared" si="7"/>
        <v>36.151277396073155</v>
      </c>
      <c r="AK24" s="22">
        <f t="shared" si="7"/>
        <v>28.493244352051789</v>
      </c>
      <c r="AL24" s="22">
        <f t="shared" si="7"/>
        <v>21.92881006482709</v>
      </c>
      <c r="AM24" s="22">
        <f t="shared" si="7"/>
        <v>16.322427926089091</v>
      </c>
      <c r="AN24" s="22">
        <f t="shared" si="7"/>
        <v>13.120367023960862</v>
      </c>
      <c r="AO24" s="22">
        <f t="shared" si="7"/>
        <v>10.36560291456596</v>
      </c>
      <c r="AP24" s="22">
        <f t="shared" si="7"/>
        <v>8.0032722215572303</v>
      </c>
      <c r="AQ24" s="22">
        <f t="shared" si="7"/>
        <v>5.9847900602148307</v>
      </c>
      <c r="AR24" s="22">
        <f t="shared" si="7"/>
        <v>4.2671619098474372</v>
      </c>
      <c r="AS24" s="22">
        <f t="shared" si="7"/>
        <v>2.8123687119417613</v>
      </c>
      <c r="AT24" s="22">
        <f t="shared" si="7"/>
        <v>1.5868175672929237</v>
      </c>
      <c r="AU24" s="22">
        <f t="shared" si="7"/>
        <v>0.61693630554788237</v>
      </c>
      <c r="AV24" s="22">
        <f t="shared" si="7"/>
        <v>1.5868175672929223</v>
      </c>
    </row>
    <row r="25" spans="3:48" s="5" customFormat="1" x14ac:dyDescent="0.2">
      <c r="C25" s="12" t="s">
        <v>313</v>
      </c>
      <c r="E25" s="24">
        <f>+SUM($E$24:E24)</f>
        <v>-780.17600000000004</v>
      </c>
      <c r="F25" s="24">
        <f>+SUM($E$24:F24)</f>
        <v>-2537.4050909090911</v>
      </c>
      <c r="G25" s="24">
        <f>+SUM($E$24:G24)</f>
        <v>-5264.4298842975204</v>
      </c>
      <c r="H25" s="24">
        <f>+SUM($E$24:H24)</f>
        <v>-6368.6011840721258</v>
      </c>
      <c r="I25" s="24">
        <f>+SUM($E$24:I24)</f>
        <v>-6385.548113926644</v>
      </c>
      <c r="J25" s="24">
        <f>+SUM($E$24:J24)</f>
        <v>-6374.371530111579</v>
      </c>
      <c r="K25" s="24">
        <f>+SUM($E$24:K24)</f>
        <v>-5846.0239315812432</v>
      </c>
      <c r="L25" s="24">
        <f>+SUM($E$24:L24)</f>
        <v>-5294.8921126014648</v>
      </c>
      <c r="M25" s="24">
        <f>+SUM($E$24:M24)</f>
        <v>-4831.6502840531994</v>
      </c>
      <c r="N25" s="24">
        <f>+SUM($E$24:N24)</f>
        <v>-4406.2803728255976</v>
      </c>
      <c r="O25" s="24">
        <f>+SUM($E$24:O24)</f>
        <v>-4014.5683907651937</v>
      </c>
      <c r="P25" s="24">
        <f>+SUM($E$24:P24)</f>
        <v>-3653.9101681988413</v>
      </c>
      <c r="Q25" s="24">
        <f>+SUM($E$24:Q24)</f>
        <v>-3321.89685614465</v>
      </c>
      <c r="R25" s="24">
        <f>+SUM($E$24:R24)</f>
        <v>-3016.3009355224444</v>
      </c>
      <c r="S25" s="24">
        <f>+SUM($E$24:S24)</f>
        <v>-2735.0631559235512</v>
      </c>
      <c r="T25" s="24">
        <f>+SUM($E$24:T24)</f>
        <v>-2472.8809834544436</v>
      </c>
      <c r="U25" s="24">
        <f>+SUM($E$24:U24)</f>
        <v>-2228.6140414435808</v>
      </c>
      <c r="V25" s="24">
        <f>+SUM($E$24:V24)</f>
        <v>-2001.1718100759856</v>
      </c>
      <c r="W25" s="24">
        <f>+SUM($E$24:W24)</f>
        <v>-1789.513986110823</v>
      </c>
      <c r="X25" s="24">
        <f>+SUM($E$24:X24)</f>
        <v>-1592.6503651556473</v>
      </c>
      <c r="Y25" s="24">
        <f>+SUM($E$24:Y24)</f>
        <v>-1409.6403303323218</v>
      </c>
      <c r="Z25" s="24">
        <f>+SUM($E$24:Z24)</f>
        <v>-1239.5920198727017</v>
      </c>
      <c r="AA25" s="24">
        <f>+SUM($E$24:AA24)</f>
        <v>-1081.6612362463886</v>
      </c>
      <c r="AB25" s="24">
        <f>+SUM($E$24:AB24)</f>
        <v>-935.05015069410047</v>
      </c>
      <c r="AC25" s="24">
        <f>+SUM($E$24:AC24)</f>
        <v>-799.00584938110796</v>
      </c>
      <c r="AD25" s="24">
        <f>+SUM($E$24:AD24)</f>
        <v>-683.84813245558519</v>
      </c>
      <c r="AE25" s="24">
        <f>+SUM($E$24:AE24)</f>
        <v>-586.90377218851268</v>
      </c>
      <c r="AF25" s="24">
        <f>+SUM($E$24:AF24)</f>
        <v>-505.81296585625086</v>
      </c>
      <c r="AG25" s="24">
        <f>+SUM($E$24:AG24)</f>
        <v>-438.49444216707445</v>
      </c>
      <c r="AH25" s="24">
        <f>+SUM($E$24:AH24)</f>
        <v>-383.11432168449079</v>
      </c>
      <c r="AI25" s="24">
        <f>+SUM($E$24:AI24)</f>
        <v>-338.0583370791125</v>
      </c>
      <c r="AJ25" s="24">
        <f>+SUM($E$24:AJ24)</f>
        <v>-301.90705968303934</v>
      </c>
      <c r="AK25" s="24">
        <f>+SUM($E$24:AK24)</f>
        <v>-273.41381533098752</v>
      </c>
      <c r="AL25" s="24">
        <f>+SUM($E$24:AL24)</f>
        <v>-251.48500526616044</v>
      </c>
      <c r="AM25" s="24">
        <f>+SUM($E$24:AM24)</f>
        <v>-235.16257734007135</v>
      </c>
      <c r="AN25" s="24">
        <f>+SUM($E$24:AN24)</f>
        <v>-222.0422103161105</v>
      </c>
      <c r="AO25" s="24">
        <f>+SUM($E$24:AO24)</f>
        <v>-211.67660740154454</v>
      </c>
      <c r="AP25" s="24">
        <f>+SUM($E$24:AP24)</f>
        <v>-203.6733351799873</v>
      </c>
      <c r="AQ25" s="24">
        <f>+SUM($E$24:AQ24)</f>
        <v>-197.68854511977247</v>
      </c>
      <c r="AR25" s="24">
        <f>+SUM($E$24:AR24)</f>
        <v>-193.42138320992504</v>
      </c>
      <c r="AS25" s="24">
        <f>+SUM($E$24:AS24)</f>
        <v>-190.60901449798328</v>
      </c>
      <c r="AT25" s="24">
        <f>+SUM($E$24:AT24)</f>
        <v>-189.02219693069037</v>
      </c>
      <c r="AU25" s="24">
        <f>+SUM($E$24:AU24)</f>
        <v>-188.40526062514249</v>
      </c>
      <c r="AV25" s="24">
        <f>+SUM($E$24:AV24)</f>
        <v>-186.81844305784958</v>
      </c>
    </row>
  </sheetData>
  <pageMargins left="0.7" right="0.7" top="0.75" bottom="0.75" header="0.3" footer="0.3"/>
  <pageSetup scale="30" orientation="landscape"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1839-A81E-4500-8AA9-64FCCE647511}">
  <sheetPr codeName="Sheet26"/>
  <dimension ref="C2:AT25"/>
  <sheetViews>
    <sheetView showGridLines="0" view="pageBreakPreview" zoomScaleNormal="100" zoomScaleSheetLayoutView="100" workbookViewId="0">
      <selection activeCell="AT21" sqref="AT21"/>
    </sheetView>
  </sheetViews>
  <sheetFormatPr defaultColWidth="8.7109375" defaultRowHeight="12.75" x14ac:dyDescent="0.2"/>
  <cols>
    <col min="1" max="1" width="8.7109375" style="73"/>
    <col min="2" max="2" width="1.7109375" style="73" customWidth="1"/>
    <col min="3" max="4" width="15.7109375" style="73" customWidth="1"/>
    <col min="5" max="5" width="7.140625" style="73" bestFit="1" customWidth="1"/>
    <col min="6" max="9" width="7.28515625" style="73" bestFit="1" customWidth="1"/>
    <col min="10" max="45" width="8.7109375" style="73"/>
    <col min="46" max="46" width="10.85546875" style="73" bestFit="1" customWidth="1"/>
    <col min="47" max="47" width="1.7109375" style="73"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1">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+SUM(E24:AS24)</f>
        <v>2304.6986989000043</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910.69869890000427</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73" t="s">
        <v>308</v>
      </c>
      <c r="E19" s="77">
        <f>0.924*(726+1802)</f>
        <v>2335.8720000000003</v>
      </c>
      <c r="F19" s="77">
        <f>0.924*3075</f>
        <v>2841.3</v>
      </c>
      <c r="G19" s="77">
        <f>0.924*1377</f>
        <v>1272.348</v>
      </c>
      <c r="H19" s="77">
        <f>0.924*37</f>
        <v>34.188000000000002</v>
      </c>
      <c r="I19" s="77">
        <v>0</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x14ac:dyDescent="0.2">
      <c r="C20" s="73" t="s">
        <v>309</v>
      </c>
      <c r="E20" s="82">
        <v>7</v>
      </c>
      <c r="F20" s="82">
        <v>9</v>
      </c>
      <c r="G20" s="82">
        <v>12</v>
      </c>
      <c r="H20" s="82">
        <v>974</v>
      </c>
      <c r="I20" s="82">
        <v>1074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-2328.8720000000003</v>
      </c>
      <c r="F21" s="75">
        <f t="shared" ref="F21:I21" si="2">F20-F19</f>
        <v>-2832.3</v>
      </c>
      <c r="G21" s="75">
        <f t="shared" si="2"/>
        <v>-1260.348</v>
      </c>
      <c r="H21" s="75">
        <f t="shared" si="2"/>
        <v>939.81200000000001</v>
      </c>
      <c r="I21" s="75">
        <f t="shared" si="2"/>
        <v>1074</v>
      </c>
      <c r="J21" s="75">
        <v>993</v>
      </c>
      <c r="K21" s="75">
        <v>1003</v>
      </c>
      <c r="L21" s="10">
        <f>+K21-(($K$21-$P$21)/($P$18-$K$18))</f>
        <v>1016</v>
      </c>
      <c r="M21" s="10">
        <f>+L21-(($K$21-$P$21)/($P$18-$K$18))</f>
        <v>1029</v>
      </c>
      <c r="N21" s="10">
        <f>+M21-(($K$21-$P$21)/($P$18-$K$18))</f>
        <v>1042</v>
      </c>
      <c r="O21" s="10">
        <f>+N21-(($K$21-$P$21)/($P$18-$K$18))</f>
        <v>1055</v>
      </c>
      <c r="P21" s="75">
        <v>1068</v>
      </c>
      <c r="Q21" s="10">
        <f t="shared" ref="Q21:Y21" si="3">+P21-(($P$21-$Z$21)/($Z$18-$P$18))</f>
        <v>1095.2</v>
      </c>
      <c r="R21" s="10">
        <f t="shared" si="3"/>
        <v>1122.4000000000001</v>
      </c>
      <c r="S21" s="10">
        <f t="shared" si="3"/>
        <v>1149.6000000000001</v>
      </c>
      <c r="T21" s="10">
        <f t="shared" si="3"/>
        <v>1176.8000000000002</v>
      </c>
      <c r="U21" s="10">
        <f t="shared" si="3"/>
        <v>1204.0000000000002</v>
      </c>
      <c r="V21" s="10">
        <f t="shared" si="3"/>
        <v>1231.2000000000003</v>
      </c>
      <c r="W21" s="10">
        <f t="shared" si="3"/>
        <v>1258.4000000000003</v>
      </c>
      <c r="X21" s="10">
        <f t="shared" si="3"/>
        <v>1285.6000000000004</v>
      </c>
      <c r="Y21" s="10">
        <f t="shared" si="3"/>
        <v>1312.8000000000004</v>
      </c>
      <c r="Z21" s="75">
        <v>1340</v>
      </c>
      <c r="AA21" s="10">
        <f t="shared" ref="AA21:AI21" si="4">+Z21-(($Z$21-$AJ$21)/($AJ$18-$Z$18))</f>
        <v>1247.7</v>
      </c>
      <c r="AB21" s="10">
        <f t="shared" si="4"/>
        <v>1155.4000000000001</v>
      </c>
      <c r="AC21" s="10">
        <f t="shared" si="4"/>
        <v>1063.1000000000001</v>
      </c>
      <c r="AD21" s="10">
        <f t="shared" si="4"/>
        <v>970.80000000000018</v>
      </c>
      <c r="AE21" s="10">
        <f t="shared" si="4"/>
        <v>878.50000000000023</v>
      </c>
      <c r="AF21" s="10">
        <f t="shared" si="4"/>
        <v>786.20000000000027</v>
      </c>
      <c r="AG21" s="10">
        <f t="shared" si="4"/>
        <v>693.90000000000032</v>
      </c>
      <c r="AH21" s="10">
        <f t="shared" si="4"/>
        <v>601.60000000000036</v>
      </c>
      <c r="AI21" s="10">
        <f t="shared" si="4"/>
        <v>509.30000000000035</v>
      </c>
      <c r="AJ21" s="75">
        <v>417</v>
      </c>
      <c r="AK21" s="10">
        <f t="shared" ref="AK21:AR21" si="5">+AJ21-(($AJ$21-$AS$21)/($AS$18-$AJ$18))</f>
        <v>379.44444444444446</v>
      </c>
      <c r="AL21" s="10">
        <f t="shared" si="5"/>
        <v>341.88888888888891</v>
      </c>
      <c r="AM21" s="10">
        <f t="shared" si="5"/>
        <v>304.33333333333337</v>
      </c>
      <c r="AN21" s="10">
        <f t="shared" si="5"/>
        <v>266.77777777777783</v>
      </c>
      <c r="AO21" s="10">
        <f t="shared" si="5"/>
        <v>229.22222222222229</v>
      </c>
      <c r="AP21" s="10">
        <f t="shared" si="5"/>
        <v>191.66666666666674</v>
      </c>
      <c r="AQ21" s="10">
        <f t="shared" si="5"/>
        <v>154.1111111111112</v>
      </c>
      <c r="AR21" s="10">
        <f t="shared" si="5"/>
        <v>116.55555555555564</v>
      </c>
      <c r="AS21" s="75">
        <v>79</v>
      </c>
      <c r="AT21" s="75">
        <v>0</v>
      </c>
    </row>
    <row r="22" spans="3:46" x14ac:dyDescent="0.2">
      <c r="C22" s="11" t="s">
        <v>310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row>
    <row r="23" spans="3:46" s="74" customFormat="1" x14ac:dyDescent="0.2">
      <c r="C23" s="12" t="str">
        <f>+CONCATENATE("Facteur d'escompte @ ",E10*100,"%")</f>
        <v>Facteur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 t="shared" ref="E24:AT24" si="7">+SUM(E21,E22)*E23</f>
        <v>-2328.8720000000003</v>
      </c>
      <c r="F24" s="22">
        <f t="shared" si="7"/>
        <v>-2574.818181818182</v>
      </c>
      <c r="G24" s="22">
        <f t="shared" si="7"/>
        <v>-1041.6099173553719</v>
      </c>
      <c r="H24" s="22">
        <f t="shared" si="7"/>
        <v>706.09466566491335</v>
      </c>
      <c r="I24" s="22">
        <f t="shared" si="7"/>
        <v>733.55645106208578</v>
      </c>
      <c r="J24" s="22">
        <f t="shared" si="7"/>
        <v>616.57487379774079</v>
      </c>
      <c r="K24" s="22">
        <f t="shared" si="7"/>
        <v>566.1673518439386</v>
      </c>
      <c r="L24" s="22">
        <f t="shared" si="7"/>
        <v>521.36864812239776</v>
      </c>
      <c r="M24" s="22">
        <f t="shared" si="7"/>
        <v>480.03609423581543</v>
      </c>
      <c r="N24" s="22">
        <f t="shared" si="7"/>
        <v>441.90971834412903</v>
      </c>
      <c r="O24" s="22">
        <f t="shared" si="7"/>
        <v>406.74817034815572</v>
      </c>
      <c r="P24" s="22">
        <f t="shared" si="7"/>
        <v>374.32748464612689</v>
      </c>
      <c r="Q24" s="22">
        <f t="shared" si="7"/>
        <v>348.96447155638253</v>
      </c>
      <c r="R24" s="22">
        <f t="shared" si="7"/>
        <v>325.11929981645841</v>
      </c>
      <c r="S24" s="22">
        <f t="shared" si="7"/>
        <v>302.7256099502693</v>
      </c>
      <c r="T24" s="22">
        <f t="shared" si="7"/>
        <v>281.7165636976315</v>
      </c>
      <c r="U24" s="22">
        <f t="shared" si="7"/>
        <v>262.0254794913389</v>
      </c>
      <c r="V24" s="22">
        <f t="shared" si="7"/>
        <v>243.58635634984628</v>
      </c>
      <c r="W24" s="22">
        <f t="shared" si="7"/>
        <v>226.33430122175452</v>
      </c>
      <c r="X24" s="22">
        <f t="shared" si="7"/>
        <v>210.2058730066228</v>
      </c>
      <c r="Y24" s="22">
        <f t="shared" si="7"/>
        <v>195.13935487009564</v>
      </c>
      <c r="Z24" s="22">
        <f t="shared" si="7"/>
        <v>181.07496504759297</v>
      </c>
      <c r="AA24" s="22">
        <f t="shared" si="7"/>
        <v>153.27492122787089</v>
      </c>
      <c r="AB24" s="22">
        <f t="shared" si="7"/>
        <v>129.03294351547359</v>
      </c>
      <c r="AC24" s="22">
        <f t="shared" si="7"/>
        <v>107.93186322824052</v>
      </c>
      <c r="AD24" s="22">
        <f t="shared" si="7"/>
        <v>89.60095503029379</v>
      </c>
      <c r="AE24" s="22">
        <f t="shared" si="7"/>
        <v>73.710940362318894</v>
      </c>
      <c r="AF24" s="22">
        <f t="shared" si="7"/>
        <v>59.969515509758487</v>
      </c>
      <c r="AG24" s="22">
        <f t="shared" si="7"/>
        <v>48.117350214173371</v>
      </c>
      <c r="AH24" s="22">
        <f t="shared" si="7"/>
        <v>37.924508232580941</v>
      </c>
      <c r="AI24" s="22">
        <f t="shared" si="7"/>
        <v>29.187246196284864</v>
      </c>
      <c r="AJ24" s="22">
        <f t="shared" si="7"/>
        <v>21.725151569624582</v>
      </c>
      <c r="AK24" s="22">
        <f t="shared" si="7"/>
        <v>17.971415015930997</v>
      </c>
      <c r="AL24" s="22">
        <f t="shared" si="7"/>
        <v>14.720629310267451</v>
      </c>
      <c r="AM24" s="22">
        <f t="shared" si="7"/>
        <v>11.912371460047435</v>
      </c>
      <c r="AN24" s="22">
        <f t="shared" si="7"/>
        <v>9.4930478527577709</v>
      </c>
      <c r="AO24" s="22">
        <f t="shared" si="7"/>
        <v>7.415151914065838</v>
      </c>
      <c r="AP24" s="22">
        <f t="shared" si="7"/>
        <v>5.6366002960223733</v>
      </c>
      <c r="AQ24" s="22">
        <f t="shared" si="7"/>
        <v>4.1201394522176713</v>
      </c>
      <c r="AR24" s="22">
        <f t="shared" si="7"/>
        <v>2.8328152883111604</v>
      </c>
      <c r="AS24" s="22">
        <f t="shared" si="7"/>
        <v>1.745499324022215</v>
      </c>
      <c r="AT24" s="22">
        <f t="shared" si="7"/>
        <v>0</v>
      </c>
    </row>
    <row r="25" spans="3:46" s="74" customFormat="1" x14ac:dyDescent="0.2">
      <c r="C25" s="12" t="s">
        <v>313</v>
      </c>
      <c r="E25" s="24">
        <f>+SUM($E$24:E24)</f>
        <v>-2328.8720000000003</v>
      </c>
      <c r="F25" s="24">
        <f>+SUM($E$24:F24)</f>
        <v>-4903.6901818181823</v>
      </c>
      <c r="G25" s="24">
        <f>+SUM($E$24:G24)</f>
        <v>-5945.3000991735544</v>
      </c>
      <c r="H25" s="24">
        <f>+SUM($E$24:H24)</f>
        <v>-5239.2054335086414</v>
      </c>
      <c r="I25" s="24">
        <f>+SUM($E$24:I24)</f>
        <v>-4505.6489824465552</v>
      </c>
      <c r="J25" s="24">
        <f>+SUM($E$24:J24)</f>
        <v>-3889.0741086488142</v>
      </c>
      <c r="K25" s="24">
        <f>+SUM($E$24:K24)</f>
        <v>-3322.9067568048758</v>
      </c>
      <c r="L25" s="24">
        <f>+SUM($E$24:L24)</f>
        <v>-2801.5381086824782</v>
      </c>
      <c r="M25" s="24">
        <f>+SUM($E$24:M24)</f>
        <v>-2321.5020144466625</v>
      </c>
      <c r="N25" s="24">
        <f>+SUM($E$24:N24)</f>
        <v>-1879.5922961025335</v>
      </c>
      <c r="O25" s="24">
        <f>+SUM($E$24:O24)</f>
        <v>-1472.8441257543777</v>
      </c>
      <c r="P25" s="24">
        <f>+SUM($E$24:P24)</f>
        <v>-1098.516641108251</v>
      </c>
      <c r="Q25" s="24">
        <f>+SUM($E$24:Q24)</f>
        <v>-749.55216955186847</v>
      </c>
      <c r="R25" s="24">
        <f>+SUM($E$24:R24)</f>
        <v>-424.43286973541007</v>
      </c>
      <c r="S25" s="24">
        <f>+SUM($E$24:S24)</f>
        <v>-121.70725978514076</v>
      </c>
      <c r="T25" s="24">
        <f>+SUM($E$24:T24)</f>
        <v>160.00930391249074</v>
      </c>
      <c r="U25" s="24">
        <f>+SUM($E$24:U24)</f>
        <v>422.03478340382964</v>
      </c>
      <c r="V25" s="24">
        <f>+SUM($E$24:V24)</f>
        <v>665.62113975367595</v>
      </c>
      <c r="W25" s="24">
        <f>+SUM($E$24:W24)</f>
        <v>891.95544097543052</v>
      </c>
      <c r="X25" s="24">
        <f>+SUM($E$24:X24)</f>
        <v>1102.1613139820533</v>
      </c>
      <c r="Y25" s="24">
        <f>+SUM($E$24:Y24)</f>
        <v>1297.3006688521491</v>
      </c>
      <c r="Z25" s="24">
        <f>+SUM($E$24:Z24)</f>
        <v>1478.3756338997421</v>
      </c>
      <c r="AA25" s="24">
        <f>+SUM($E$24:AA24)</f>
        <v>1631.650555127613</v>
      </c>
      <c r="AB25" s="24">
        <f>+SUM($E$24:AB24)</f>
        <v>1760.6834986430865</v>
      </c>
      <c r="AC25" s="24">
        <f>+SUM($E$24:AC24)</f>
        <v>1868.615361871327</v>
      </c>
      <c r="AD25" s="24">
        <f>+SUM($E$24:AD24)</f>
        <v>1958.2163169016208</v>
      </c>
      <c r="AE25" s="24">
        <f>+SUM($E$24:AE24)</f>
        <v>2031.9272572639397</v>
      </c>
      <c r="AF25" s="24">
        <f>+SUM($E$24:AF24)</f>
        <v>2091.8967727736981</v>
      </c>
      <c r="AG25" s="24">
        <f>+SUM($E$24:AG24)</f>
        <v>2140.0141229878714</v>
      </c>
      <c r="AH25" s="24">
        <f>+SUM($E$24:AH24)</f>
        <v>2177.9386312204524</v>
      </c>
      <c r="AI25" s="24">
        <f>+SUM($E$24:AI24)</f>
        <v>2207.1258774167372</v>
      </c>
      <c r="AJ25" s="24">
        <f>+SUM($E$24:AJ24)</f>
        <v>2228.8510289863616</v>
      </c>
      <c r="AK25" s="24">
        <f>+SUM($E$24:AK24)</f>
        <v>2246.8224440022927</v>
      </c>
      <c r="AL25" s="24">
        <f>+SUM($E$24:AL24)</f>
        <v>2261.5430733125604</v>
      </c>
      <c r="AM25" s="24">
        <f>+SUM($E$24:AM24)</f>
        <v>2273.4554447726077</v>
      </c>
      <c r="AN25" s="24">
        <f>+SUM($E$24:AN24)</f>
        <v>2282.9484926253654</v>
      </c>
      <c r="AO25" s="24">
        <f>+SUM($E$24:AO24)</f>
        <v>2290.3636445394313</v>
      </c>
      <c r="AP25" s="24">
        <f>+SUM($E$24:AP24)</f>
        <v>2296.0002448354535</v>
      </c>
      <c r="AQ25" s="24">
        <f>+SUM($E$24:AQ24)</f>
        <v>2300.1203842876712</v>
      </c>
      <c r="AR25" s="24">
        <f>+SUM($E$24:AR24)</f>
        <v>2302.9531995759821</v>
      </c>
      <c r="AS25" s="24">
        <f>+SUM($E$24:AS24)</f>
        <v>2304.6986989000043</v>
      </c>
      <c r="AT25" s="24">
        <f>+SUM($E$24:AT24)</f>
        <v>2304.6986989000043</v>
      </c>
    </row>
  </sheetData>
  <pageMargins left="0.7" right="0.7" top="0.75" bottom="0.75" header="0.3" footer="0.3"/>
  <pageSetup scale="30" orientation="landscape"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615C-E969-4CF2-855C-96A127E65037}">
  <sheetPr codeName="Sheet27"/>
  <dimension ref="C2:AT23"/>
  <sheetViews>
    <sheetView showGridLines="0" view="pageBreakPreview" zoomScaleNormal="100" zoomScaleSheetLayoutView="100" workbookViewId="0">
      <selection activeCell="E20" sqref="E20"/>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1.7109375" style="73"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+SUM(E22:AS22)</f>
        <v>1811.7628852260762</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417.76288522607615</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11" t="s">
        <v>312</v>
      </c>
      <c r="E19" s="75">
        <f>-724-1796</f>
        <v>-2520</v>
      </c>
      <c r="F19" s="75">
        <v>-3066</v>
      </c>
      <c r="G19" s="75">
        <v>-1365</v>
      </c>
      <c r="H19" s="75">
        <v>936</v>
      </c>
      <c r="I19" s="75">
        <v>1074</v>
      </c>
      <c r="J19" s="75">
        <v>993</v>
      </c>
      <c r="K19" s="75">
        <v>1003</v>
      </c>
      <c r="L19" s="10">
        <f>+K19-(($K$19-$P$19)/($P$18-$K$18))</f>
        <v>1016</v>
      </c>
      <c r="M19" s="10">
        <f t="shared" ref="M19:O19" si="2">+L19-(($K$19-$P$19)/($P$18-$K$18))</f>
        <v>1029</v>
      </c>
      <c r="N19" s="10">
        <f t="shared" si="2"/>
        <v>1042</v>
      </c>
      <c r="O19" s="10">
        <f t="shared" si="2"/>
        <v>1055</v>
      </c>
      <c r="P19" s="75">
        <v>1068</v>
      </c>
      <c r="Q19" s="10">
        <f>+P19-(($P$19-$Z$19)/($Z$18-$P$18))</f>
        <v>1095.2</v>
      </c>
      <c r="R19" s="10">
        <f t="shared" ref="R19:Y19" si="3">+Q19-(($P$19-$Z$19)/($Z$18-$P$18))</f>
        <v>1122.4000000000001</v>
      </c>
      <c r="S19" s="10">
        <f t="shared" si="3"/>
        <v>1149.6000000000001</v>
      </c>
      <c r="T19" s="10">
        <f t="shared" si="3"/>
        <v>1176.8000000000002</v>
      </c>
      <c r="U19" s="10">
        <f t="shared" si="3"/>
        <v>1204.0000000000002</v>
      </c>
      <c r="V19" s="10">
        <f t="shared" si="3"/>
        <v>1231.2000000000003</v>
      </c>
      <c r="W19" s="10">
        <f t="shared" si="3"/>
        <v>1258.4000000000003</v>
      </c>
      <c r="X19" s="10">
        <f t="shared" si="3"/>
        <v>1285.6000000000004</v>
      </c>
      <c r="Y19" s="10">
        <f t="shared" si="3"/>
        <v>1312.8000000000004</v>
      </c>
      <c r="Z19" s="75">
        <v>1340</v>
      </c>
      <c r="AA19" s="10">
        <f>+Z19-(($Z$19-$AJ$19)/($AJ$18-$Z$18))</f>
        <v>1247.7</v>
      </c>
      <c r="AB19" s="10">
        <f t="shared" ref="AB19:AI19" si="4">+AA19-(($Z$19-$AJ$19)/($AJ$18-$Z$18))</f>
        <v>1155.4000000000001</v>
      </c>
      <c r="AC19" s="10">
        <f t="shared" si="4"/>
        <v>1063.1000000000001</v>
      </c>
      <c r="AD19" s="10">
        <f t="shared" si="4"/>
        <v>970.80000000000018</v>
      </c>
      <c r="AE19" s="10">
        <f t="shared" si="4"/>
        <v>878.50000000000023</v>
      </c>
      <c r="AF19" s="10">
        <f t="shared" si="4"/>
        <v>786.20000000000027</v>
      </c>
      <c r="AG19" s="10">
        <f t="shared" si="4"/>
        <v>693.90000000000032</v>
      </c>
      <c r="AH19" s="10">
        <f t="shared" si="4"/>
        <v>601.60000000000036</v>
      </c>
      <c r="AI19" s="10">
        <f t="shared" si="4"/>
        <v>509.30000000000035</v>
      </c>
      <c r="AJ19" s="75">
        <v>417</v>
      </c>
      <c r="AK19" s="10">
        <f>+AJ19-(($AJ$19-$AS$19)/($AS$18-$AJ$18))</f>
        <v>379.44444444444446</v>
      </c>
      <c r="AL19" s="10">
        <f t="shared" ref="AL19:AR19" si="5">+AK19-(($AJ$19-$AS$19)/($AS$18-$AJ$18))</f>
        <v>341.88888888888891</v>
      </c>
      <c r="AM19" s="10">
        <f t="shared" si="5"/>
        <v>304.33333333333337</v>
      </c>
      <c r="AN19" s="10">
        <f t="shared" si="5"/>
        <v>266.77777777777783</v>
      </c>
      <c r="AO19" s="10">
        <f t="shared" si="5"/>
        <v>229.22222222222229</v>
      </c>
      <c r="AP19" s="10">
        <f t="shared" si="5"/>
        <v>191.66666666666674</v>
      </c>
      <c r="AQ19" s="10">
        <f t="shared" si="5"/>
        <v>154.1111111111112</v>
      </c>
      <c r="AR19" s="10">
        <f t="shared" si="5"/>
        <v>116.55555555555564</v>
      </c>
      <c r="AS19" s="75">
        <v>79</v>
      </c>
      <c r="AT19" s="75">
        <v>79</v>
      </c>
    </row>
    <row r="20" spans="3:46" x14ac:dyDescent="0.2">
      <c r="C20" s="11" t="s">
        <v>311</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0</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row>
    <row r="21" spans="3:46" s="74" customFormat="1" x14ac:dyDescent="0.2">
      <c r="C21" s="12" t="str">
        <f>+CONCATENATE("Facteur d'escompte @ ",E10*100,"%")</f>
        <v>Facteur d'escompte @ 10%</v>
      </c>
      <c r="E21" s="6">
        <f t="shared" ref="E21:AT21" si="6">+(1+$E$10)^-(E18-($E$18))</f>
        <v>1</v>
      </c>
      <c r="F21" s="6">
        <f t="shared" si="6"/>
        <v>0.90909090909090906</v>
      </c>
      <c r="G21" s="6">
        <f t="shared" si="6"/>
        <v>0.82644628099173545</v>
      </c>
      <c r="H21" s="6">
        <f t="shared" si="6"/>
        <v>0.75131480090157754</v>
      </c>
      <c r="I21" s="6">
        <f t="shared" si="6"/>
        <v>0.68301345536507052</v>
      </c>
      <c r="J21" s="6">
        <f t="shared" si="6"/>
        <v>0.62092132305915493</v>
      </c>
      <c r="K21" s="6">
        <f t="shared" si="6"/>
        <v>0.56447393005377722</v>
      </c>
      <c r="L21" s="6">
        <f t="shared" si="6"/>
        <v>0.51315811823070645</v>
      </c>
      <c r="M21" s="6">
        <f t="shared" si="6"/>
        <v>0.46650738020973315</v>
      </c>
      <c r="N21" s="6">
        <f t="shared" si="6"/>
        <v>0.42409761837248466</v>
      </c>
      <c r="O21" s="6">
        <f t="shared" si="6"/>
        <v>0.38554328942953148</v>
      </c>
      <c r="P21" s="6">
        <f t="shared" si="6"/>
        <v>0.3504938994813922</v>
      </c>
      <c r="Q21" s="6">
        <f t="shared" si="6"/>
        <v>0.31863081771035656</v>
      </c>
      <c r="R21" s="6">
        <f t="shared" si="6"/>
        <v>0.28966437973668779</v>
      </c>
      <c r="S21" s="6">
        <f t="shared" si="6"/>
        <v>0.26333125430607973</v>
      </c>
      <c r="T21" s="6">
        <f t="shared" si="6"/>
        <v>0.23939204936916339</v>
      </c>
      <c r="U21" s="6">
        <f t="shared" si="6"/>
        <v>0.21762913579014853</v>
      </c>
      <c r="V21" s="6">
        <f t="shared" si="6"/>
        <v>0.19784466890013502</v>
      </c>
      <c r="W21" s="6">
        <f t="shared" si="6"/>
        <v>0.17985878990921364</v>
      </c>
      <c r="X21" s="6">
        <f t="shared" si="6"/>
        <v>0.16350799082655781</v>
      </c>
      <c r="Y21" s="6">
        <f t="shared" si="6"/>
        <v>0.14864362802414349</v>
      </c>
      <c r="Z21" s="6">
        <f t="shared" si="6"/>
        <v>0.13513057093103953</v>
      </c>
      <c r="AA21" s="6">
        <f t="shared" si="6"/>
        <v>0.12284597357367227</v>
      </c>
      <c r="AB21" s="6">
        <f t="shared" si="6"/>
        <v>0.11167815779424752</v>
      </c>
      <c r="AC21" s="6">
        <f t="shared" si="6"/>
        <v>0.10152559799477048</v>
      </c>
      <c r="AD21" s="6">
        <f t="shared" si="6"/>
        <v>9.2295998177064048E-2</v>
      </c>
      <c r="AE21" s="6">
        <f t="shared" si="6"/>
        <v>8.3905452888240042E-2</v>
      </c>
      <c r="AF21" s="6">
        <f t="shared" si="6"/>
        <v>7.6277684443854576E-2</v>
      </c>
      <c r="AG21" s="6">
        <f t="shared" si="6"/>
        <v>6.9343349494413245E-2</v>
      </c>
      <c r="AH21" s="6">
        <f t="shared" si="6"/>
        <v>6.3039408631284766E-2</v>
      </c>
      <c r="AI21" s="6">
        <f t="shared" si="6"/>
        <v>5.7308553301167964E-2</v>
      </c>
      <c r="AJ21" s="6">
        <f t="shared" si="6"/>
        <v>5.2098684819243603E-2</v>
      </c>
      <c r="AK21" s="6">
        <f t="shared" si="6"/>
        <v>4.7362440744766907E-2</v>
      </c>
      <c r="AL21" s="6">
        <f t="shared" si="6"/>
        <v>4.3056764313424457E-2</v>
      </c>
      <c r="AM21" s="6">
        <f t="shared" si="6"/>
        <v>3.9142513012204054E-2</v>
      </c>
      <c r="AN21" s="6">
        <f t="shared" si="6"/>
        <v>3.5584102738367311E-2</v>
      </c>
      <c r="AO21" s="6">
        <f t="shared" si="6"/>
        <v>3.2349184307606652E-2</v>
      </c>
      <c r="AP21" s="6">
        <f t="shared" si="6"/>
        <v>2.94083493705515E-2</v>
      </c>
      <c r="AQ21" s="6">
        <f t="shared" si="6"/>
        <v>2.6734863064137721E-2</v>
      </c>
      <c r="AR21" s="6">
        <f t="shared" si="6"/>
        <v>2.4304420967397926E-2</v>
      </c>
      <c r="AS21" s="6">
        <f t="shared" si="6"/>
        <v>2.2094928152179935E-2</v>
      </c>
      <c r="AT21" s="6">
        <f t="shared" si="6"/>
        <v>2.0086298320163575E-2</v>
      </c>
    </row>
    <row r="22" spans="3:46" x14ac:dyDescent="0.2">
      <c r="C22" s="20" t="s">
        <v>303</v>
      </c>
      <c r="D22" s="21"/>
      <c r="E22" s="22">
        <f>+SUM(E19,E20)*E21</f>
        <v>-2520</v>
      </c>
      <c r="F22" s="22">
        <f t="shared" ref="F22:AT22" si="7">+SUM(F19,F20)*F21</f>
        <v>-2787.272727272727</v>
      </c>
      <c r="G22" s="22">
        <f t="shared" si="7"/>
        <v>-1128.0991735537189</v>
      </c>
      <c r="H22" s="22">
        <f t="shared" si="7"/>
        <v>703.23065364387662</v>
      </c>
      <c r="I22" s="22">
        <f t="shared" si="7"/>
        <v>733.55645106208578</v>
      </c>
      <c r="J22" s="22">
        <f t="shared" si="7"/>
        <v>616.57487379774079</v>
      </c>
      <c r="K22" s="22">
        <f t="shared" si="7"/>
        <v>566.1673518439386</v>
      </c>
      <c r="L22" s="22">
        <f t="shared" si="7"/>
        <v>521.36864812239776</v>
      </c>
      <c r="M22" s="22">
        <f t="shared" si="7"/>
        <v>480.03609423581543</v>
      </c>
      <c r="N22" s="22">
        <f t="shared" si="7"/>
        <v>441.90971834412903</v>
      </c>
      <c r="O22" s="22">
        <f t="shared" si="7"/>
        <v>406.74817034815572</v>
      </c>
      <c r="P22" s="22">
        <f t="shared" si="7"/>
        <v>374.32748464612689</v>
      </c>
      <c r="Q22" s="22">
        <f t="shared" si="7"/>
        <v>348.96447155638253</v>
      </c>
      <c r="R22" s="22">
        <f t="shared" si="7"/>
        <v>325.11929981645841</v>
      </c>
      <c r="S22" s="22">
        <f t="shared" si="7"/>
        <v>302.7256099502693</v>
      </c>
      <c r="T22" s="22">
        <f t="shared" si="7"/>
        <v>281.7165636976315</v>
      </c>
      <c r="U22" s="22">
        <f t="shared" si="7"/>
        <v>262.0254794913389</v>
      </c>
      <c r="V22" s="22">
        <f t="shared" si="7"/>
        <v>243.58635634984628</v>
      </c>
      <c r="W22" s="22">
        <f t="shared" si="7"/>
        <v>226.33430122175452</v>
      </c>
      <c r="X22" s="22">
        <f t="shared" si="7"/>
        <v>210.2058730066228</v>
      </c>
      <c r="Y22" s="22">
        <f t="shared" si="7"/>
        <v>195.13935487009564</v>
      </c>
      <c r="Z22" s="22">
        <f t="shared" si="7"/>
        <v>181.07496504759297</v>
      </c>
      <c r="AA22" s="22">
        <f t="shared" si="7"/>
        <v>153.27492122787089</v>
      </c>
      <c r="AB22" s="22">
        <f t="shared" si="7"/>
        <v>129.03294351547359</v>
      </c>
      <c r="AC22" s="22">
        <f t="shared" si="7"/>
        <v>107.93186322824052</v>
      </c>
      <c r="AD22" s="22">
        <f t="shared" si="7"/>
        <v>89.60095503029379</v>
      </c>
      <c r="AE22" s="22">
        <f t="shared" si="7"/>
        <v>73.710940362318894</v>
      </c>
      <c r="AF22" s="22">
        <f t="shared" si="7"/>
        <v>59.969515509758487</v>
      </c>
      <c r="AG22" s="22">
        <f t="shared" si="7"/>
        <v>48.117350214173371</v>
      </c>
      <c r="AH22" s="22">
        <f t="shared" si="7"/>
        <v>37.924508232580941</v>
      </c>
      <c r="AI22" s="22">
        <f t="shared" si="7"/>
        <v>29.187246196284864</v>
      </c>
      <c r="AJ22" s="22">
        <f t="shared" si="7"/>
        <v>21.725151569624582</v>
      </c>
      <c r="AK22" s="22">
        <f t="shared" si="7"/>
        <v>17.971415015930997</v>
      </c>
      <c r="AL22" s="22">
        <f t="shared" si="7"/>
        <v>14.720629310267451</v>
      </c>
      <c r="AM22" s="22">
        <f t="shared" si="7"/>
        <v>11.912371460047435</v>
      </c>
      <c r="AN22" s="22">
        <f t="shared" si="7"/>
        <v>9.4930478527577709</v>
      </c>
      <c r="AO22" s="22">
        <f t="shared" si="7"/>
        <v>7.415151914065838</v>
      </c>
      <c r="AP22" s="22">
        <f t="shared" si="7"/>
        <v>5.6366002960223733</v>
      </c>
      <c r="AQ22" s="22">
        <f t="shared" si="7"/>
        <v>4.1201394522176713</v>
      </c>
      <c r="AR22" s="22">
        <f t="shared" si="7"/>
        <v>2.8328152883111604</v>
      </c>
      <c r="AS22" s="22">
        <f t="shared" si="7"/>
        <v>1.745499324022215</v>
      </c>
      <c r="AT22" s="22">
        <f t="shared" si="7"/>
        <v>1.5868175672929223</v>
      </c>
    </row>
    <row r="23" spans="3:46" s="74" customFormat="1" x14ac:dyDescent="0.2">
      <c r="C23" s="12" t="s">
        <v>313</v>
      </c>
      <c r="E23" s="24">
        <f>+SUM($E$22:E22)</f>
        <v>-2520</v>
      </c>
      <c r="F23" s="24">
        <f>+SUM($E$22:F22)</f>
        <v>-5307.272727272727</v>
      </c>
      <c r="G23" s="24">
        <f>+SUM($E$22:G22)</f>
        <v>-6435.3719008264461</v>
      </c>
      <c r="H23" s="24">
        <f>+SUM($E$22:H22)</f>
        <v>-5732.1412471825697</v>
      </c>
      <c r="I23" s="24">
        <f>+SUM($E$22:I22)</f>
        <v>-4998.5847961204836</v>
      </c>
      <c r="J23" s="24">
        <f>+SUM($E$22:J22)</f>
        <v>-4382.0099223227426</v>
      </c>
      <c r="K23" s="24">
        <f>+SUM($E$22:K22)</f>
        <v>-3815.8425704788042</v>
      </c>
      <c r="L23" s="24">
        <f>+SUM($E$22:L22)</f>
        <v>-3294.4739223564065</v>
      </c>
      <c r="M23" s="24">
        <f>+SUM($E$22:M22)</f>
        <v>-2814.4378281205909</v>
      </c>
      <c r="N23" s="24">
        <f>+SUM($E$22:N22)</f>
        <v>-2372.5281097764619</v>
      </c>
      <c r="O23" s="24">
        <f>+SUM($E$22:O22)</f>
        <v>-1965.7799394283061</v>
      </c>
      <c r="P23" s="24">
        <f>+SUM($E$22:P22)</f>
        <v>-1591.4524547821793</v>
      </c>
      <c r="Q23" s="24">
        <f>+SUM($E$22:Q22)</f>
        <v>-1242.4879832257968</v>
      </c>
      <c r="R23" s="24">
        <f>+SUM($E$22:R22)</f>
        <v>-917.36868340933847</v>
      </c>
      <c r="S23" s="24">
        <f>+SUM($E$22:S22)</f>
        <v>-614.64307345906923</v>
      </c>
      <c r="T23" s="24">
        <f>+SUM($E$22:T22)</f>
        <v>-332.92650976143773</v>
      </c>
      <c r="U23" s="24">
        <f>+SUM($E$22:U22)</f>
        <v>-70.901030270098829</v>
      </c>
      <c r="V23" s="24">
        <f>+SUM($E$22:V22)</f>
        <v>172.68532607974745</v>
      </c>
      <c r="W23" s="24">
        <f>+SUM($E$22:W22)</f>
        <v>399.01962730150194</v>
      </c>
      <c r="X23" s="24">
        <f>+SUM($E$22:X22)</f>
        <v>609.22550030812477</v>
      </c>
      <c r="Y23" s="24">
        <f>+SUM($E$22:Y22)</f>
        <v>804.36485517822041</v>
      </c>
      <c r="Z23" s="24">
        <f>+SUM($E$22:Z22)</f>
        <v>985.43982022581338</v>
      </c>
      <c r="AA23" s="24">
        <f>+SUM($E$22:AA22)</f>
        <v>1138.7147414536844</v>
      </c>
      <c r="AB23" s="24">
        <f>+SUM($E$22:AB22)</f>
        <v>1267.7476849691579</v>
      </c>
      <c r="AC23" s="24">
        <f>+SUM($E$22:AC22)</f>
        <v>1375.6795481973984</v>
      </c>
      <c r="AD23" s="24">
        <f>+SUM($E$22:AD22)</f>
        <v>1465.2805032276922</v>
      </c>
      <c r="AE23" s="24">
        <f>+SUM($E$22:AE22)</f>
        <v>1538.9914435900112</v>
      </c>
      <c r="AF23" s="24">
        <f>+SUM($E$22:AF22)</f>
        <v>1598.9609590997698</v>
      </c>
      <c r="AG23" s="24">
        <f>+SUM($E$22:AG22)</f>
        <v>1647.078309313943</v>
      </c>
      <c r="AH23" s="24">
        <f>+SUM($E$22:AH22)</f>
        <v>1685.0028175465241</v>
      </c>
      <c r="AI23" s="24">
        <f>+SUM($E$22:AI22)</f>
        <v>1714.1900637428089</v>
      </c>
      <c r="AJ23" s="24">
        <f>+SUM($E$22:AJ22)</f>
        <v>1735.9152153124335</v>
      </c>
      <c r="AK23" s="24">
        <f>+SUM($E$22:AK22)</f>
        <v>1753.8866303283644</v>
      </c>
      <c r="AL23" s="24">
        <f>+SUM($E$22:AL22)</f>
        <v>1768.6072596386318</v>
      </c>
      <c r="AM23" s="24">
        <f>+SUM($E$22:AM22)</f>
        <v>1780.5196310986792</v>
      </c>
      <c r="AN23" s="24">
        <f>+SUM($E$22:AN22)</f>
        <v>1790.012678951437</v>
      </c>
      <c r="AO23" s="24">
        <f>+SUM($E$22:AO22)</f>
        <v>1797.4278308655028</v>
      </c>
      <c r="AP23" s="24">
        <f>+SUM($E$22:AP22)</f>
        <v>1803.0644311615251</v>
      </c>
      <c r="AQ23" s="24">
        <f>+SUM($E$22:AQ22)</f>
        <v>1807.1845706137428</v>
      </c>
      <c r="AR23" s="24">
        <f>+SUM($E$22:AR22)</f>
        <v>1810.017385902054</v>
      </c>
      <c r="AS23" s="24">
        <f>+SUM($E$22:AS22)</f>
        <v>1811.7628852260762</v>
      </c>
      <c r="AT23" s="24">
        <f>+SUM($E$22:AT22)</f>
        <v>1813.349702793369</v>
      </c>
    </row>
  </sheetData>
  <pageMargins left="0.7" right="0.7" top="0.75" bottom="0.75" header="0.3" footer="0.3"/>
  <pageSetup scale="30" orientation="landscape"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9C6B3-3E40-470C-B7EE-5D3C8998F756}">
  <sheetPr codeName="Sheet28"/>
  <dimension ref="C2:AT25"/>
  <sheetViews>
    <sheetView showGridLines="0" view="pageBreakPreview" zoomScaleNormal="100" zoomScaleSheetLayoutView="100" workbookViewId="0">
      <selection activeCell="H24" sqref="H24"/>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1.7109375" style="73"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+SUM(E24:AS24)</f>
        <v>1318.3297011539501</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-75.670298846049945</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81" t="s">
        <v>314</v>
      </c>
      <c r="E19" s="77">
        <f>1.076*(726+1802)</f>
        <v>2720.1280000000002</v>
      </c>
      <c r="F19" s="77">
        <f>1.076*3075</f>
        <v>3308.7000000000003</v>
      </c>
      <c r="G19" s="77">
        <f>1.076*1377</f>
        <v>1481.652</v>
      </c>
      <c r="H19" s="77">
        <f>1.076*37</f>
        <v>39.812000000000005</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x14ac:dyDescent="0.2">
      <c r="C20" s="81" t="s">
        <v>309</v>
      </c>
      <c r="E20" s="77">
        <v>7</v>
      </c>
      <c r="F20" s="77">
        <v>9</v>
      </c>
      <c r="G20" s="77">
        <v>12</v>
      </c>
      <c r="H20" s="77">
        <v>974</v>
      </c>
      <c r="I20" s="77">
        <v>1074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-2713.1280000000002</v>
      </c>
      <c r="F21" s="75">
        <f t="shared" ref="F21:H21" si="2">F20-F19</f>
        <v>-3299.7000000000003</v>
      </c>
      <c r="G21" s="75">
        <f t="shared" si="2"/>
        <v>-1469.652</v>
      </c>
      <c r="H21" s="75">
        <f t="shared" si="2"/>
        <v>934.18799999999999</v>
      </c>
      <c r="I21" s="75">
        <f>I20-I19</f>
        <v>1074</v>
      </c>
      <c r="J21" s="75">
        <v>993</v>
      </c>
      <c r="K21" s="75">
        <v>1003</v>
      </c>
      <c r="L21" s="10">
        <f>+K21-(($K$21-$P$21)/($P$18-$K$18))</f>
        <v>1016</v>
      </c>
      <c r="M21" s="10">
        <f>+L21-(($K$21-$P$21)/($P$18-$K$18))</f>
        <v>1029</v>
      </c>
      <c r="N21" s="10">
        <f>+M21-(($K$21-$P$21)/($P$18-$K$18))</f>
        <v>1042</v>
      </c>
      <c r="O21" s="10">
        <f>+N21-(($K$21-$P$21)/($P$18-$K$18))</f>
        <v>1055</v>
      </c>
      <c r="P21" s="75">
        <v>1068</v>
      </c>
      <c r="Q21" s="10">
        <f t="shared" ref="Q21:Y21" si="3">+P21-(($P$21-$Z$21)/($Z$18-$P$18))</f>
        <v>1095.2</v>
      </c>
      <c r="R21" s="10">
        <f t="shared" si="3"/>
        <v>1122.4000000000001</v>
      </c>
      <c r="S21" s="10">
        <f t="shared" si="3"/>
        <v>1149.6000000000001</v>
      </c>
      <c r="T21" s="10">
        <f t="shared" si="3"/>
        <v>1176.8000000000002</v>
      </c>
      <c r="U21" s="10">
        <f t="shared" si="3"/>
        <v>1204.0000000000002</v>
      </c>
      <c r="V21" s="10">
        <f t="shared" si="3"/>
        <v>1231.2000000000003</v>
      </c>
      <c r="W21" s="10">
        <f t="shared" si="3"/>
        <v>1258.4000000000003</v>
      </c>
      <c r="X21" s="10">
        <f t="shared" si="3"/>
        <v>1285.6000000000004</v>
      </c>
      <c r="Y21" s="10">
        <f t="shared" si="3"/>
        <v>1312.8000000000004</v>
      </c>
      <c r="Z21" s="75">
        <v>1340</v>
      </c>
      <c r="AA21" s="10">
        <f t="shared" ref="AA21:AI21" si="4">+Z21-(($Z$21-$AJ$21)/($AJ$18-$Z$18))</f>
        <v>1247.7</v>
      </c>
      <c r="AB21" s="10">
        <f t="shared" si="4"/>
        <v>1155.4000000000001</v>
      </c>
      <c r="AC21" s="10">
        <f t="shared" si="4"/>
        <v>1063.1000000000001</v>
      </c>
      <c r="AD21" s="10">
        <f t="shared" si="4"/>
        <v>970.80000000000018</v>
      </c>
      <c r="AE21" s="10">
        <f t="shared" si="4"/>
        <v>878.50000000000023</v>
      </c>
      <c r="AF21" s="10">
        <f t="shared" si="4"/>
        <v>786.20000000000027</v>
      </c>
      <c r="AG21" s="10">
        <f t="shared" si="4"/>
        <v>693.90000000000032</v>
      </c>
      <c r="AH21" s="10">
        <f t="shared" si="4"/>
        <v>601.60000000000036</v>
      </c>
      <c r="AI21" s="10">
        <f t="shared" si="4"/>
        <v>509.30000000000035</v>
      </c>
      <c r="AJ21" s="75">
        <v>417</v>
      </c>
      <c r="AK21" s="10">
        <f t="shared" ref="AK21:AR21" si="5">+AJ21-(($AJ$21-$AS$21)/($AS$18-$AJ$18))</f>
        <v>379.44444444444446</v>
      </c>
      <c r="AL21" s="10">
        <f t="shared" si="5"/>
        <v>341.88888888888891</v>
      </c>
      <c r="AM21" s="10">
        <f t="shared" si="5"/>
        <v>304.33333333333337</v>
      </c>
      <c r="AN21" s="10">
        <f t="shared" si="5"/>
        <v>266.77777777777783</v>
      </c>
      <c r="AO21" s="10">
        <f t="shared" si="5"/>
        <v>229.22222222222229</v>
      </c>
      <c r="AP21" s="10">
        <f t="shared" si="5"/>
        <v>191.66666666666674</v>
      </c>
      <c r="AQ21" s="10">
        <f t="shared" si="5"/>
        <v>154.1111111111112</v>
      </c>
      <c r="AR21" s="10">
        <f t="shared" si="5"/>
        <v>116.55555555555564</v>
      </c>
      <c r="AS21" s="75">
        <v>79</v>
      </c>
      <c r="AT21" s="75">
        <v>79</v>
      </c>
    </row>
    <row r="22" spans="3:46"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row>
    <row r="23" spans="3:46" s="74" customFormat="1" x14ac:dyDescent="0.2">
      <c r="C23" s="12" t="str">
        <f>+CONCATENATE("Taux d'escompte @ ",E10*100,"%")</f>
        <v>Taux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+SUM(E21,E22)*E23</f>
        <v>-2713.1280000000002</v>
      </c>
      <c r="F24" s="22">
        <f t="shared" ref="F24:AT24" si="7">+SUM(F21,F22)*F23</f>
        <v>-2999.727272727273</v>
      </c>
      <c r="G24" s="22">
        <f t="shared" si="7"/>
        <v>-1214.5884297520661</v>
      </c>
      <c r="H24" s="22">
        <f t="shared" si="7"/>
        <v>701.86927122464294</v>
      </c>
      <c r="I24" s="22">
        <f t="shared" si="7"/>
        <v>733.55645106208578</v>
      </c>
      <c r="J24" s="22">
        <f t="shared" si="7"/>
        <v>616.57487379774079</v>
      </c>
      <c r="K24" s="22">
        <f t="shared" si="7"/>
        <v>566.1673518439386</v>
      </c>
      <c r="L24" s="22">
        <f t="shared" si="7"/>
        <v>521.36864812239776</v>
      </c>
      <c r="M24" s="22">
        <f t="shared" si="7"/>
        <v>480.03609423581543</v>
      </c>
      <c r="N24" s="22">
        <f t="shared" si="7"/>
        <v>441.90971834412903</v>
      </c>
      <c r="O24" s="22">
        <f t="shared" si="7"/>
        <v>406.74817034815572</v>
      </c>
      <c r="P24" s="22">
        <f t="shared" si="7"/>
        <v>374.32748464612689</v>
      </c>
      <c r="Q24" s="22">
        <f t="shared" si="7"/>
        <v>348.96447155638253</v>
      </c>
      <c r="R24" s="22">
        <f t="shared" si="7"/>
        <v>325.11929981645841</v>
      </c>
      <c r="S24" s="22">
        <f t="shared" si="7"/>
        <v>302.7256099502693</v>
      </c>
      <c r="T24" s="22">
        <f t="shared" si="7"/>
        <v>281.7165636976315</v>
      </c>
      <c r="U24" s="22">
        <f t="shared" si="7"/>
        <v>262.0254794913389</v>
      </c>
      <c r="V24" s="22">
        <f t="shared" si="7"/>
        <v>243.58635634984628</v>
      </c>
      <c r="W24" s="22">
        <f t="shared" si="7"/>
        <v>226.33430122175452</v>
      </c>
      <c r="X24" s="22">
        <f t="shared" si="7"/>
        <v>210.2058730066228</v>
      </c>
      <c r="Y24" s="22">
        <f t="shared" si="7"/>
        <v>195.13935487009564</v>
      </c>
      <c r="Z24" s="22">
        <f t="shared" si="7"/>
        <v>181.07496504759297</v>
      </c>
      <c r="AA24" s="22">
        <f t="shared" si="7"/>
        <v>153.27492122787089</v>
      </c>
      <c r="AB24" s="22">
        <f t="shared" si="7"/>
        <v>129.03294351547359</v>
      </c>
      <c r="AC24" s="22">
        <f t="shared" si="7"/>
        <v>107.93186322824052</v>
      </c>
      <c r="AD24" s="22">
        <f t="shared" si="7"/>
        <v>89.60095503029379</v>
      </c>
      <c r="AE24" s="22">
        <f t="shared" si="7"/>
        <v>73.710940362318894</v>
      </c>
      <c r="AF24" s="22">
        <f t="shared" si="7"/>
        <v>59.969515509758487</v>
      </c>
      <c r="AG24" s="22">
        <f t="shared" si="7"/>
        <v>48.117350214173371</v>
      </c>
      <c r="AH24" s="22">
        <f t="shared" si="7"/>
        <v>37.924508232580941</v>
      </c>
      <c r="AI24" s="22">
        <f t="shared" si="7"/>
        <v>29.187246196284864</v>
      </c>
      <c r="AJ24" s="22">
        <f t="shared" si="7"/>
        <v>21.725151569624582</v>
      </c>
      <c r="AK24" s="22">
        <f t="shared" si="7"/>
        <v>17.971415015930997</v>
      </c>
      <c r="AL24" s="22">
        <f t="shared" si="7"/>
        <v>14.720629310267451</v>
      </c>
      <c r="AM24" s="22">
        <f t="shared" si="7"/>
        <v>11.912371460047435</v>
      </c>
      <c r="AN24" s="22">
        <f t="shared" si="7"/>
        <v>9.4930478527577709</v>
      </c>
      <c r="AO24" s="22">
        <f t="shared" si="7"/>
        <v>7.415151914065838</v>
      </c>
      <c r="AP24" s="22">
        <f t="shared" si="7"/>
        <v>5.6366002960223733</v>
      </c>
      <c r="AQ24" s="22">
        <f t="shared" si="7"/>
        <v>4.1201394522176713</v>
      </c>
      <c r="AR24" s="22">
        <f t="shared" si="7"/>
        <v>2.8328152883111604</v>
      </c>
      <c r="AS24" s="22">
        <f t="shared" si="7"/>
        <v>1.745499324022215</v>
      </c>
      <c r="AT24" s="22">
        <f t="shared" si="7"/>
        <v>1.5868175672929223</v>
      </c>
    </row>
    <row r="25" spans="3:46" s="74" customFormat="1" x14ac:dyDescent="0.2">
      <c r="C25" s="12" t="s">
        <v>313</v>
      </c>
      <c r="E25" s="24">
        <f>+SUM($E$24:E24)</f>
        <v>-2713.1280000000002</v>
      </c>
      <c r="F25" s="24">
        <f>+SUM($E$24:F24)</f>
        <v>-5712.8552727272727</v>
      </c>
      <c r="G25" s="24">
        <f>+SUM($E$24:G24)</f>
        <v>-6927.4437024793388</v>
      </c>
      <c r="H25" s="24">
        <f>+SUM($E$24:H24)</f>
        <v>-6225.5744312546958</v>
      </c>
      <c r="I25" s="24">
        <f>+SUM($E$24:I24)</f>
        <v>-5492.0179801926097</v>
      </c>
      <c r="J25" s="24">
        <f>+SUM($E$24:J24)</f>
        <v>-4875.4431063948687</v>
      </c>
      <c r="K25" s="24">
        <f>+SUM($E$24:K24)</f>
        <v>-4309.2757545509303</v>
      </c>
      <c r="L25" s="24">
        <f>+SUM($E$24:L24)</f>
        <v>-3787.9071064285326</v>
      </c>
      <c r="M25" s="24">
        <f>+SUM($E$24:M24)</f>
        <v>-3307.871012192717</v>
      </c>
      <c r="N25" s="24">
        <f>+SUM($E$24:N24)</f>
        <v>-2865.961293848588</v>
      </c>
      <c r="O25" s="24">
        <f>+SUM($E$24:O24)</f>
        <v>-2459.2131235004322</v>
      </c>
      <c r="P25" s="24">
        <f>+SUM($E$24:P24)</f>
        <v>-2084.8856388543054</v>
      </c>
      <c r="Q25" s="24">
        <f>+SUM($E$24:Q24)</f>
        <v>-1735.9211672979229</v>
      </c>
      <c r="R25" s="24">
        <f>+SUM($E$24:R24)</f>
        <v>-1410.8018674814646</v>
      </c>
      <c r="S25" s="24">
        <f>+SUM($E$24:S24)</f>
        <v>-1108.0762575311953</v>
      </c>
      <c r="T25" s="24">
        <f>+SUM($E$24:T24)</f>
        <v>-826.35969383356382</v>
      </c>
      <c r="U25" s="24">
        <f>+SUM($E$24:U24)</f>
        <v>-564.33421434222487</v>
      </c>
      <c r="V25" s="24">
        <f>+SUM($E$24:V24)</f>
        <v>-320.74785799237861</v>
      </c>
      <c r="W25" s="24">
        <f>+SUM($E$24:W24)</f>
        <v>-94.413556770624098</v>
      </c>
      <c r="X25" s="24">
        <f>+SUM($E$24:X24)</f>
        <v>115.7923162359987</v>
      </c>
      <c r="Y25" s="24">
        <f>+SUM($E$24:Y24)</f>
        <v>310.93167110609431</v>
      </c>
      <c r="Z25" s="24">
        <f>+SUM($E$24:Z24)</f>
        <v>492.00663615368728</v>
      </c>
      <c r="AA25" s="24">
        <f>+SUM($E$24:AA24)</f>
        <v>645.28155738155817</v>
      </c>
      <c r="AB25" s="24">
        <f>+SUM($E$24:AB24)</f>
        <v>774.31450089703173</v>
      </c>
      <c r="AC25" s="24">
        <f>+SUM($E$24:AC24)</f>
        <v>882.24636412527229</v>
      </c>
      <c r="AD25" s="24">
        <f>+SUM($E$24:AD24)</f>
        <v>971.84731915556608</v>
      </c>
      <c r="AE25" s="24">
        <f>+SUM($E$24:AE24)</f>
        <v>1045.5582595178851</v>
      </c>
      <c r="AF25" s="24">
        <f>+SUM($E$24:AF24)</f>
        <v>1105.5277750276437</v>
      </c>
      <c r="AG25" s="24">
        <f>+SUM($E$24:AG24)</f>
        <v>1153.6451252418169</v>
      </c>
      <c r="AH25" s="24">
        <f>+SUM($E$24:AH24)</f>
        <v>1191.569633474398</v>
      </c>
      <c r="AI25" s="24">
        <f>+SUM($E$24:AI24)</f>
        <v>1220.7568796706828</v>
      </c>
      <c r="AJ25" s="24">
        <f>+SUM($E$24:AJ24)</f>
        <v>1242.4820312403074</v>
      </c>
      <c r="AK25" s="24">
        <f>+SUM($E$24:AK24)</f>
        <v>1260.4534462562383</v>
      </c>
      <c r="AL25" s="24">
        <f>+SUM($E$24:AL24)</f>
        <v>1275.1740755665057</v>
      </c>
      <c r="AM25" s="24">
        <f>+SUM($E$24:AM24)</f>
        <v>1287.0864470265531</v>
      </c>
      <c r="AN25" s="24">
        <f>+SUM($E$24:AN24)</f>
        <v>1296.5794948793109</v>
      </c>
      <c r="AO25" s="24">
        <f>+SUM($E$24:AO24)</f>
        <v>1303.9946467933767</v>
      </c>
      <c r="AP25" s="24">
        <f>+SUM($E$24:AP24)</f>
        <v>1309.631247089399</v>
      </c>
      <c r="AQ25" s="24">
        <f>+SUM($E$24:AQ24)</f>
        <v>1313.7513865416167</v>
      </c>
      <c r="AR25" s="24">
        <f>+SUM($E$24:AR24)</f>
        <v>1316.5842018299279</v>
      </c>
      <c r="AS25" s="24">
        <f>+SUM($E$24:AS24)</f>
        <v>1318.3297011539501</v>
      </c>
      <c r="AT25" s="24">
        <f>+SUM($E$24:AT24)</f>
        <v>1319.9165187212429</v>
      </c>
    </row>
  </sheetData>
  <pageMargins left="0.7" right="0.7" top="0.75" bottom="0.75" header="0.3" footer="0.3"/>
  <pageSetup scale="3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A244-F6C4-4493-B520-88B7D4649A68}">
  <sheetPr codeName="Sheet5"/>
  <dimension ref="A1:DY60"/>
  <sheetViews>
    <sheetView zoomScale="70" zoomScaleNormal="70" workbookViewId="0">
      <selection activeCell="AY28" sqref="AY28"/>
    </sheetView>
  </sheetViews>
  <sheetFormatPr defaultColWidth="9" defaultRowHeight="15" x14ac:dyDescent="0.25"/>
  <cols>
    <col min="1" max="1" width="73.5703125" style="43" customWidth="1"/>
    <col min="2" max="2" width="27.42578125" style="43" customWidth="1"/>
    <col min="3" max="3" width="52" style="43" customWidth="1"/>
    <col min="4" max="129" width="3" style="43" customWidth="1"/>
    <col min="130" max="16384" width="9" style="43"/>
  </cols>
  <sheetData>
    <row r="1" spans="1:129" x14ac:dyDescent="0.25">
      <c r="A1" s="44" t="s">
        <v>252</v>
      </c>
    </row>
    <row r="4" spans="1:129" x14ac:dyDescent="0.25">
      <c r="A4" s="91" t="s">
        <v>278</v>
      </c>
    </row>
    <row r="5" spans="1:129" x14ac:dyDescent="0.25">
      <c r="A5" s="91" t="s">
        <v>438</v>
      </c>
    </row>
    <row r="7" spans="1:129" x14ac:dyDescent="0.25">
      <c r="A7" s="44" t="s">
        <v>72</v>
      </c>
      <c r="B7" s="44" t="s">
        <v>241</v>
      </c>
      <c r="C7" s="44" t="s">
        <v>439</v>
      </c>
      <c r="D7" s="146">
        <v>42856</v>
      </c>
      <c r="E7" s="147"/>
      <c r="F7" s="147"/>
      <c r="G7" s="146">
        <v>42887</v>
      </c>
      <c r="H7" s="147"/>
      <c r="I7" s="147"/>
      <c r="J7" s="146">
        <v>42917</v>
      </c>
      <c r="K7" s="147"/>
      <c r="L7" s="147"/>
      <c r="M7" s="146">
        <v>42948</v>
      </c>
      <c r="N7" s="147"/>
      <c r="O7" s="147"/>
      <c r="P7" s="146">
        <v>42979</v>
      </c>
      <c r="Q7" s="147"/>
      <c r="R7" s="147"/>
      <c r="S7" s="146">
        <v>43009</v>
      </c>
      <c r="T7" s="147"/>
      <c r="U7" s="147"/>
      <c r="V7" s="146">
        <v>43040</v>
      </c>
      <c r="W7" s="147"/>
      <c r="X7" s="147"/>
      <c r="Y7" s="146">
        <v>43070</v>
      </c>
      <c r="Z7" s="147"/>
      <c r="AA7" s="147"/>
      <c r="AB7" s="146">
        <v>43101</v>
      </c>
      <c r="AC7" s="147"/>
      <c r="AD7" s="147"/>
      <c r="AE7" s="146">
        <v>43132</v>
      </c>
      <c r="AF7" s="147"/>
      <c r="AG7" s="147"/>
      <c r="AH7" s="146">
        <v>43160</v>
      </c>
      <c r="AI7" s="147"/>
      <c r="AJ7" s="147"/>
      <c r="AK7" s="146">
        <v>43191</v>
      </c>
      <c r="AL7" s="147"/>
      <c r="AM7" s="147"/>
      <c r="AN7" s="146">
        <v>43221</v>
      </c>
      <c r="AO7" s="147"/>
      <c r="AP7" s="147"/>
      <c r="AQ7" s="146">
        <v>43252</v>
      </c>
      <c r="AR7" s="147"/>
      <c r="AS7" s="147"/>
      <c r="AT7" s="146">
        <v>43282</v>
      </c>
      <c r="AU7" s="147"/>
      <c r="AV7" s="147"/>
      <c r="AW7" s="146">
        <v>43313</v>
      </c>
      <c r="AX7" s="147"/>
      <c r="AY7" s="147"/>
      <c r="AZ7" s="146">
        <v>43344</v>
      </c>
      <c r="BA7" s="147"/>
      <c r="BB7" s="147"/>
      <c r="BC7" s="146">
        <v>43374</v>
      </c>
      <c r="BD7" s="147"/>
      <c r="BE7" s="147"/>
      <c r="BF7" s="146">
        <v>43405</v>
      </c>
      <c r="BG7" s="147"/>
      <c r="BH7" s="147"/>
      <c r="BI7" s="146">
        <v>43435</v>
      </c>
      <c r="BJ7" s="147"/>
      <c r="BK7" s="147"/>
      <c r="BL7" s="146">
        <v>43466</v>
      </c>
      <c r="BM7" s="147"/>
      <c r="BN7" s="147"/>
      <c r="BO7" s="146">
        <v>43497</v>
      </c>
      <c r="BP7" s="147"/>
      <c r="BQ7" s="147"/>
      <c r="BR7" s="146">
        <v>43525</v>
      </c>
      <c r="BS7" s="147"/>
      <c r="BT7" s="147"/>
      <c r="BU7" s="146">
        <v>43556</v>
      </c>
      <c r="BV7" s="147"/>
      <c r="BW7" s="147"/>
      <c r="BX7" s="146">
        <v>43586</v>
      </c>
      <c r="BY7" s="147"/>
      <c r="BZ7" s="147"/>
      <c r="CA7" s="146">
        <v>43617</v>
      </c>
      <c r="CB7" s="147"/>
      <c r="CC7" s="147"/>
      <c r="CD7" s="146">
        <v>43647</v>
      </c>
      <c r="CE7" s="147"/>
      <c r="CF7" s="147"/>
      <c r="CG7" s="146">
        <v>43678</v>
      </c>
      <c r="CH7" s="147"/>
      <c r="CI7" s="147"/>
      <c r="CJ7" s="146">
        <v>43709</v>
      </c>
      <c r="CK7" s="147"/>
      <c r="CL7" s="147"/>
      <c r="CM7" s="146">
        <v>43739</v>
      </c>
      <c r="CN7" s="147"/>
      <c r="CO7" s="147"/>
      <c r="CP7" s="146">
        <v>43770</v>
      </c>
      <c r="CQ7" s="147"/>
      <c r="CR7" s="147"/>
      <c r="CS7" s="146">
        <v>43800</v>
      </c>
      <c r="CT7" s="147"/>
      <c r="CU7" s="147"/>
      <c r="CV7" s="146">
        <v>43831</v>
      </c>
      <c r="CW7" s="147"/>
      <c r="CX7" s="147"/>
      <c r="CY7" s="146">
        <v>43862</v>
      </c>
      <c r="CZ7" s="147"/>
      <c r="DA7" s="147"/>
      <c r="DB7" s="146">
        <v>43891</v>
      </c>
      <c r="DC7" s="147"/>
      <c r="DD7" s="147"/>
      <c r="DE7" s="146">
        <v>43922</v>
      </c>
      <c r="DF7" s="147"/>
      <c r="DG7" s="147"/>
      <c r="DH7" s="146">
        <v>43952</v>
      </c>
      <c r="DI7" s="147"/>
      <c r="DJ7" s="147"/>
      <c r="DK7" s="146">
        <v>43983</v>
      </c>
      <c r="DL7" s="147"/>
      <c r="DM7" s="147"/>
      <c r="DN7" s="146">
        <v>44013</v>
      </c>
      <c r="DO7" s="147"/>
      <c r="DP7" s="147"/>
      <c r="DQ7" s="146">
        <v>44044</v>
      </c>
      <c r="DR7" s="147"/>
      <c r="DS7" s="147"/>
      <c r="DT7" s="146">
        <v>44075</v>
      </c>
      <c r="DU7" s="147"/>
      <c r="DV7" s="147"/>
      <c r="DW7" s="146">
        <v>44105</v>
      </c>
      <c r="DX7" s="147"/>
      <c r="DY7" s="147"/>
    </row>
    <row r="8" spans="1:129" x14ac:dyDescent="0.25">
      <c r="A8" s="43" t="s">
        <v>70</v>
      </c>
      <c r="B8" s="91" t="s">
        <v>242</v>
      </c>
      <c r="C8" s="91" t="s">
        <v>441</v>
      </c>
      <c r="V8" s="56"/>
      <c r="W8" s="56"/>
      <c r="X8" s="56"/>
      <c r="Y8" s="56"/>
      <c r="AJ8" s="56"/>
      <c r="AK8" s="56"/>
      <c r="AL8" s="56"/>
      <c r="AM8" s="56"/>
      <c r="AN8" s="56"/>
      <c r="AO8" s="56"/>
      <c r="AP8" s="56"/>
      <c r="AQ8" s="56"/>
      <c r="AR8" s="56"/>
      <c r="AS8" s="56"/>
      <c r="AT8" s="53"/>
      <c r="AU8" s="53"/>
      <c r="AV8" s="53"/>
      <c r="AW8" s="55"/>
      <c r="AX8" s="55"/>
      <c r="AY8" s="55"/>
      <c r="AZ8" s="55"/>
      <c r="BA8" s="55"/>
      <c r="BB8" s="55"/>
      <c r="BC8" s="55"/>
      <c r="BD8" s="55"/>
      <c r="BE8" s="55"/>
      <c r="BF8" s="55"/>
      <c r="BG8" s="55"/>
      <c r="BH8" s="55"/>
      <c r="BI8" s="55"/>
      <c r="BJ8" s="55"/>
      <c r="BK8" s="55"/>
    </row>
    <row r="9" spans="1:129" x14ac:dyDescent="0.25">
      <c r="A9" s="43" t="s">
        <v>70</v>
      </c>
      <c r="B9" s="91" t="s">
        <v>259</v>
      </c>
      <c r="C9" s="91" t="s">
        <v>248</v>
      </c>
      <c r="AB9" s="56"/>
      <c r="AC9" s="56"/>
      <c r="AD9" s="56"/>
      <c r="AE9" s="56"/>
      <c r="AF9" s="56"/>
      <c r="AG9" s="56"/>
      <c r="AH9" s="56"/>
      <c r="AI9" s="56"/>
      <c r="AJ9" s="52"/>
      <c r="AK9" s="52"/>
      <c r="AL9" s="52"/>
      <c r="AM9" s="52"/>
      <c r="AN9" s="52"/>
      <c r="AO9" s="52"/>
      <c r="AP9" s="52"/>
      <c r="AQ9" s="52"/>
      <c r="AR9" s="52"/>
      <c r="AS9" s="52"/>
      <c r="AT9" s="52"/>
      <c r="AU9" s="52"/>
      <c r="AV9" s="52"/>
      <c r="AW9" s="52"/>
      <c r="AX9" s="52"/>
      <c r="AY9" s="54"/>
      <c r="AZ9" s="54"/>
      <c r="BA9" s="54"/>
      <c r="BB9" s="54"/>
      <c r="BC9" s="54"/>
      <c r="BD9" s="54"/>
      <c r="BE9" s="54"/>
      <c r="BF9" s="54"/>
      <c r="BG9" s="54"/>
      <c r="BH9" s="54"/>
      <c r="BI9" s="55"/>
      <c r="BJ9" s="55"/>
      <c r="BK9" s="55"/>
      <c r="BL9" s="55"/>
      <c r="BM9" s="55"/>
      <c r="BN9" s="55"/>
    </row>
    <row r="10" spans="1:129" x14ac:dyDescent="0.25">
      <c r="A10" s="43" t="s">
        <v>70</v>
      </c>
      <c r="B10" s="91" t="s">
        <v>260</v>
      </c>
      <c r="C10" s="91" t="s">
        <v>248</v>
      </c>
      <c r="AB10" s="56"/>
      <c r="AC10" s="56"/>
      <c r="AD10" s="56"/>
      <c r="AE10" s="56"/>
      <c r="AF10" s="56"/>
      <c r="AG10" s="56"/>
      <c r="AH10" s="56"/>
      <c r="AI10" s="56"/>
      <c r="AJ10" s="52"/>
      <c r="AK10" s="52"/>
      <c r="AL10" s="52"/>
      <c r="AM10" s="52"/>
      <c r="AN10" s="52"/>
      <c r="AO10" s="52"/>
      <c r="AP10" s="52"/>
      <c r="AQ10" s="52"/>
      <c r="AR10" s="52"/>
      <c r="AS10" s="52"/>
      <c r="AT10" s="52"/>
      <c r="AU10" s="52"/>
      <c r="AV10" s="52"/>
      <c r="AW10" s="52"/>
      <c r="AX10" s="52"/>
      <c r="AY10" s="56"/>
      <c r="AZ10" s="56"/>
      <c r="BA10" s="56"/>
      <c r="BB10" s="54"/>
      <c r="BC10" s="54"/>
      <c r="BD10" s="54"/>
      <c r="BE10" s="54"/>
      <c r="BF10" s="55"/>
      <c r="BG10" s="55"/>
      <c r="BH10" s="55"/>
      <c r="BI10" s="55"/>
      <c r="BJ10" s="55"/>
      <c r="BK10" s="55"/>
      <c r="BL10" s="55"/>
      <c r="BM10" s="55"/>
      <c r="BN10" s="55"/>
    </row>
    <row r="11" spans="1:129" x14ac:dyDescent="0.25">
      <c r="A11" s="43" t="s">
        <v>70</v>
      </c>
      <c r="B11" s="91" t="s">
        <v>261</v>
      </c>
      <c r="C11" s="91" t="s">
        <v>248</v>
      </c>
      <c r="AB11" s="56"/>
      <c r="AC11" s="56"/>
      <c r="AD11" s="56"/>
      <c r="AE11" s="56"/>
      <c r="AF11" s="56"/>
      <c r="AG11" s="56"/>
      <c r="AH11" s="56"/>
      <c r="AI11" s="56"/>
      <c r="AJ11" s="52"/>
      <c r="AK11" s="52"/>
      <c r="AL11" s="52"/>
      <c r="AM11" s="52"/>
      <c r="AN11" s="52"/>
      <c r="AO11" s="52"/>
      <c r="AP11" s="52"/>
      <c r="AQ11" s="52"/>
      <c r="AR11" s="52"/>
      <c r="AS11" s="52"/>
      <c r="AT11" s="52"/>
      <c r="AU11" s="52"/>
      <c r="AV11" s="52"/>
      <c r="AW11" s="52"/>
      <c r="AX11" s="52"/>
      <c r="AY11" s="56"/>
      <c r="AZ11" s="56"/>
      <c r="BA11" s="56"/>
      <c r="BB11" s="56"/>
      <c r="BC11" s="56"/>
      <c r="BD11" s="56"/>
      <c r="BE11" s="56"/>
      <c r="BF11" s="54"/>
      <c r="BG11" s="54"/>
      <c r="BH11" s="54"/>
      <c r="BI11" s="55"/>
      <c r="BJ11" s="55"/>
      <c r="BK11" s="55"/>
      <c r="BL11" s="55"/>
      <c r="BM11" s="55"/>
      <c r="BN11" s="55"/>
    </row>
    <row r="12" spans="1:129" x14ac:dyDescent="0.25">
      <c r="A12" s="91" t="s">
        <v>69</v>
      </c>
      <c r="B12" s="91" t="s">
        <v>244</v>
      </c>
      <c r="C12" s="91" t="s">
        <v>247</v>
      </c>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5"/>
      <c r="AU12" s="55"/>
      <c r="AV12" s="55"/>
      <c r="AW12" s="55"/>
      <c r="AX12" s="55"/>
      <c r="AY12" s="55"/>
      <c r="AZ12" s="55"/>
      <c r="BA12" s="55"/>
      <c r="BB12" s="55"/>
      <c r="BC12" s="55"/>
      <c r="BD12" s="55"/>
      <c r="BE12" s="55"/>
      <c r="BF12" s="55"/>
      <c r="BG12" s="55"/>
      <c r="BH12" s="55"/>
      <c r="BI12" s="55"/>
      <c r="BJ12" s="55"/>
      <c r="BK12" s="55"/>
      <c r="BL12" s="55"/>
      <c r="BM12" s="55"/>
      <c r="BN12" s="55"/>
    </row>
    <row r="13" spans="1:129" x14ac:dyDescent="0.25">
      <c r="A13" s="43" t="s">
        <v>69</v>
      </c>
      <c r="B13" s="91" t="s">
        <v>244</v>
      </c>
      <c r="C13" s="91" t="s">
        <v>245</v>
      </c>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4"/>
      <c r="BH13" s="54"/>
      <c r="BI13" s="54"/>
      <c r="BJ13" s="54"/>
      <c r="BK13" s="54"/>
      <c r="BL13" s="54"/>
      <c r="BM13" s="54"/>
      <c r="BN13" s="54"/>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row>
    <row r="14" spans="1:129" x14ac:dyDescent="0.25">
      <c r="A14" s="43" t="s">
        <v>69</v>
      </c>
      <c r="B14" s="91" t="s">
        <v>243</v>
      </c>
      <c r="C14" s="91" t="s">
        <v>249</v>
      </c>
      <c r="D14" s="58"/>
      <c r="E14" s="58"/>
      <c r="F14" s="58"/>
      <c r="G14" s="58"/>
      <c r="H14" s="58"/>
      <c r="I14" s="58"/>
      <c r="J14" s="58"/>
      <c r="K14" s="58"/>
      <c r="L14" s="58"/>
      <c r="M14" s="58"/>
      <c r="N14" s="58"/>
      <c r="O14" s="58"/>
      <c r="P14" s="58"/>
      <c r="Q14" s="58"/>
      <c r="R14" s="58"/>
      <c r="S14" s="56"/>
      <c r="T14" s="56"/>
      <c r="U14" s="56"/>
      <c r="V14" s="56"/>
      <c r="W14" s="56"/>
      <c r="X14" s="56"/>
      <c r="Y14" s="56"/>
      <c r="Z14" s="56"/>
      <c r="AA14" s="56"/>
      <c r="AB14" s="56"/>
      <c r="AC14" s="56"/>
      <c r="AD14" s="56"/>
      <c r="AE14" s="56"/>
      <c r="AF14" s="56"/>
      <c r="AG14" s="56"/>
      <c r="AH14" s="56"/>
      <c r="AI14" s="56"/>
      <c r="AJ14" s="56"/>
      <c r="AK14" s="58"/>
      <c r="AL14" s="58"/>
      <c r="AM14" s="58"/>
      <c r="AN14" s="58"/>
      <c r="AO14" s="58"/>
      <c r="AP14" s="58"/>
      <c r="AQ14" s="58"/>
      <c r="AR14" s="58"/>
      <c r="AS14" s="58"/>
      <c r="AT14" s="53"/>
      <c r="AU14" s="53"/>
      <c r="AV14" s="53"/>
      <c r="AW14" s="53"/>
      <c r="AX14" s="55"/>
      <c r="AY14" s="55"/>
      <c r="AZ14" s="55"/>
      <c r="BA14" s="55"/>
      <c r="BB14" s="55"/>
      <c r="BC14" s="55"/>
      <c r="BD14" s="55"/>
      <c r="BE14" s="55"/>
      <c r="BF14" s="55"/>
      <c r="BG14" s="55"/>
      <c r="BH14" s="55"/>
      <c r="BI14" s="55"/>
      <c r="BJ14" s="55"/>
      <c r="BK14" s="55"/>
      <c r="BL14" s="55"/>
      <c r="BM14" s="55"/>
      <c r="BN14" s="55"/>
    </row>
    <row r="15" spans="1:129" x14ac:dyDescent="0.25">
      <c r="A15" s="43" t="s">
        <v>69</v>
      </c>
      <c r="B15" s="91" t="s">
        <v>243</v>
      </c>
      <c r="C15" s="91" t="s">
        <v>442</v>
      </c>
      <c r="D15" s="58"/>
      <c r="E15" s="58"/>
      <c r="F15" s="58"/>
      <c r="G15" s="58"/>
      <c r="H15" s="58"/>
      <c r="I15" s="58"/>
      <c r="J15" s="58"/>
      <c r="K15" s="58"/>
      <c r="L15" s="58"/>
      <c r="M15" s="58"/>
      <c r="N15" s="58"/>
      <c r="O15" s="58"/>
      <c r="P15" s="58"/>
      <c r="Q15" s="58"/>
      <c r="R15" s="58"/>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4"/>
      <c r="AU15" s="54"/>
      <c r="AV15" s="54"/>
      <c r="AW15" s="54"/>
      <c r="AX15" s="54"/>
      <c r="AY15" s="54"/>
      <c r="AZ15" s="54"/>
      <c r="BA15" s="54"/>
      <c r="BB15" s="54"/>
      <c r="BC15" s="54"/>
      <c r="BD15" s="54"/>
      <c r="BE15" s="54"/>
      <c r="BF15" s="54"/>
      <c r="BG15" s="54"/>
      <c r="BH15" s="54"/>
      <c r="BI15" s="54"/>
      <c r="BJ15" s="54"/>
      <c r="BK15" s="54"/>
      <c r="BL15" s="54"/>
      <c r="BM15" s="54"/>
      <c r="BN15" s="54"/>
      <c r="BO15" s="57"/>
      <c r="BP15" s="57"/>
      <c r="BQ15" s="57"/>
    </row>
    <row r="16" spans="1:129" x14ac:dyDescent="0.25">
      <c r="A16" s="43" t="s">
        <v>69</v>
      </c>
      <c r="B16" s="91" t="s">
        <v>243</v>
      </c>
      <c r="C16" s="91" t="s">
        <v>246</v>
      </c>
      <c r="AL16" s="56"/>
      <c r="AM16" s="56"/>
      <c r="AN16" s="56"/>
      <c r="AO16" s="56"/>
      <c r="AP16" s="56"/>
      <c r="AQ16" s="56"/>
      <c r="AR16" s="56"/>
      <c r="AS16" s="56"/>
      <c r="AT16" s="56"/>
      <c r="AU16" s="56"/>
      <c r="AV16" s="56"/>
      <c r="AW16" s="54"/>
      <c r="AX16" s="54"/>
      <c r="AY16" s="55"/>
      <c r="AZ16" s="55"/>
      <c r="BA16" s="55"/>
      <c r="BB16" s="55"/>
      <c r="BC16" s="55"/>
      <c r="BD16" s="55"/>
      <c r="BE16" s="55"/>
      <c r="BF16" s="55"/>
      <c r="BG16" s="55"/>
      <c r="BH16" s="55"/>
      <c r="BI16" s="55"/>
      <c r="BJ16" s="55"/>
      <c r="BK16" s="55"/>
    </row>
    <row r="20" spans="1:53" x14ac:dyDescent="0.25">
      <c r="A20" s="44" t="s">
        <v>437</v>
      </c>
    </row>
    <row r="21" spans="1:53" x14ac:dyDescent="0.25">
      <c r="A21" s="44" t="s">
        <v>72</v>
      </c>
      <c r="B21" s="44" t="s">
        <v>250</v>
      </c>
      <c r="C21" s="44" t="s">
        <v>440</v>
      </c>
      <c r="D21" s="44" t="s">
        <v>253</v>
      </c>
      <c r="AH21" s="56"/>
      <c r="AI21" s="91" t="s">
        <v>446</v>
      </c>
      <c r="AY21" s="91" t="s">
        <v>71</v>
      </c>
      <c r="BA21" s="91" t="s">
        <v>450</v>
      </c>
    </row>
    <row r="22" spans="1:53" x14ac:dyDescent="0.25">
      <c r="A22" s="43" t="s">
        <v>70</v>
      </c>
      <c r="B22" s="91" t="s">
        <v>242</v>
      </c>
      <c r="C22" s="91" t="s">
        <v>441</v>
      </c>
      <c r="D22" s="91" t="s">
        <v>254</v>
      </c>
      <c r="AH22" s="55"/>
      <c r="AI22" s="91" t="s">
        <v>447</v>
      </c>
      <c r="BA22" s="91" t="s">
        <v>449</v>
      </c>
    </row>
    <row r="23" spans="1:53" x14ac:dyDescent="0.25">
      <c r="A23" s="43" t="s">
        <v>70</v>
      </c>
      <c r="B23" s="91" t="s">
        <v>259</v>
      </c>
      <c r="C23" s="91" t="s">
        <v>248</v>
      </c>
      <c r="D23" s="91" t="s">
        <v>443</v>
      </c>
      <c r="AH23" s="54"/>
      <c r="AI23" s="91" t="s">
        <v>287</v>
      </c>
    </row>
    <row r="24" spans="1:53" x14ac:dyDescent="0.25">
      <c r="A24" s="43" t="s">
        <v>70</v>
      </c>
      <c r="B24" s="91" t="s">
        <v>260</v>
      </c>
      <c r="C24" s="91" t="s">
        <v>248</v>
      </c>
      <c r="D24" s="91" t="s">
        <v>444</v>
      </c>
      <c r="AH24" s="53"/>
      <c r="AI24" s="91" t="s">
        <v>288</v>
      </c>
    </row>
    <row r="25" spans="1:53" x14ac:dyDescent="0.25">
      <c r="A25" s="43" t="s">
        <v>70</v>
      </c>
      <c r="B25" s="91" t="s">
        <v>261</v>
      </c>
      <c r="C25" s="91" t="s">
        <v>248</v>
      </c>
      <c r="D25" s="91" t="s">
        <v>255</v>
      </c>
      <c r="AH25" s="52"/>
      <c r="AI25" s="91" t="s">
        <v>448</v>
      </c>
    </row>
    <row r="26" spans="1:53" x14ac:dyDescent="0.25">
      <c r="A26" s="43" t="s">
        <v>69</v>
      </c>
      <c r="B26" s="91" t="s">
        <v>244</v>
      </c>
      <c r="C26" s="91" t="s">
        <v>247</v>
      </c>
      <c r="D26" s="91" t="s">
        <v>256</v>
      </c>
    </row>
    <row r="27" spans="1:53" x14ac:dyDescent="0.25">
      <c r="A27" s="43" t="s">
        <v>69</v>
      </c>
      <c r="B27" s="91" t="s">
        <v>244</v>
      </c>
      <c r="C27" s="91" t="s">
        <v>245</v>
      </c>
      <c r="D27" s="91" t="s">
        <v>257</v>
      </c>
    </row>
    <row r="28" spans="1:53" x14ac:dyDescent="0.25">
      <c r="A28" s="43" t="s">
        <v>69</v>
      </c>
      <c r="B28" s="91" t="s">
        <v>243</v>
      </c>
      <c r="C28" s="91" t="s">
        <v>249</v>
      </c>
      <c r="D28" s="91" t="s">
        <v>258</v>
      </c>
    </row>
    <row r="29" spans="1:53" x14ac:dyDescent="0.25">
      <c r="A29" s="43" t="s">
        <v>69</v>
      </c>
      <c r="B29" s="91" t="s">
        <v>243</v>
      </c>
      <c r="C29" s="91" t="s">
        <v>442</v>
      </c>
      <c r="D29" s="91" t="s">
        <v>256</v>
      </c>
    </row>
    <row r="30" spans="1:53" x14ac:dyDescent="0.25">
      <c r="A30" s="43" t="s">
        <v>69</v>
      </c>
      <c r="B30" s="91" t="s">
        <v>243</v>
      </c>
      <c r="C30" s="91" t="s">
        <v>251</v>
      </c>
      <c r="D30" s="91" t="s">
        <v>445</v>
      </c>
    </row>
    <row r="33" spans="1:3" x14ac:dyDescent="0.25">
      <c r="A33" s="44" t="s">
        <v>262</v>
      </c>
    </row>
    <row r="34" spans="1:3" x14ac:dyDescent="0.25">
      <c r="A34" s="91" t="s">
        <v>263</v>
      </c>
    </row>
    <row r="35" spans="1:3" x14ac:dyDescent="0.25">
      <c r="A35" s="91" t="s">
        <v>269</v>
      </c>
    </row>
    <row r="36" spans="1:3" x14ac:dyDescent="0.25">
      <c r="A36" s="91" t="s">
        <v>264</v>
      </c>
    </row>
    <row r="37" spans="1:3" x14ac:dyDescent="0.25">
      <c r="A37" s="91" t="s">
        <v>265</v>
      </c>
    </row>
    <row r="38" spans="1:3" x14ac:dyDescent="0.25">
      <c r="A38" s="91" t="s">
        <v>266</v>
      </c>
    </row>
    <row r="39" spans="1:3" x14ac:dyDescent="0.25">
      <c r="A39" s="91" t="s">
        <v>268</v>
      </c>
    </row>
    <row r="40" spans="1:3" x14ac:dyDescent="0.25">
      <c r="A40" s="91" t="s">
        <v>267</v>
      </c>
    </row>
    <row r="42" spans="1:3" x14ac:dyDescent="0.25">
      <c r="A42" s="44" t="s">
        <v>270</v>
      </c>
    </row>
    <row r="43" spans="1:3" x14ac:dyDescent="0.25">
      <c r="A43" s="91" t="s">
        <v>272</v>
      </c>
      <c r="B43" s="91" t="s">
        <v>289</v>
      </c>
    </row>
    <row r="44" spans="1:3" x14ac:dyDescent="0.25">
      <c r="A44" s="92" t="s">
        <v>271</v>
      </c>
      <c r="B44" s="91" t="s">
        <v>281</v>
      </c>
    </row>
    <row r="45" spans="1:3" ht="15.75" thickBot="1" x14ac:dyDescent="0.3">
      <c r="A45" s="93" t="s">
        <v>273</v>
      </c>
      <c r="B45" s="91" t="s">
        <v>282</v>
      </c>
    </row>
    <row r="46" spans="1:3" x14ac:dyDescent="0.25">
      <c r="A46" s="91" t="s">
        <v>274</v>
      </c>
    </row>
    <row r="47" spans="1:3" ht="15.75" thickBot="1" x14ac:dyDescent="0.3"/>
    <row r="48" spans="1:3" x14ac:dyDescent="0.25">
      <c r="A48" s="51" t="s">
        <v>275</v>
      </c>
      <c r="B48" s="50"/>
      <c r="C48" s="49"/>
    </row>
    <row r="49" spans="1:3" x14ac:dyDescent="0.25">
      <c r="A49" s="94" t="s">
        <v>276</v>
      </c>
      <c r="B49" s="48"/>
      <c r="C49" s="47"/>
    </row>
    <row r="50" spans="1:3" ht="15.75" thickBot="1" x14ac:dyDescent="0.3">
      <c r="A50" s="95" t="s">
        <v>274</v>
      </c>
      <c r="B50" s="48"/>
      <c r="C50" s="47"/>
    </row>
    <row r="51" spans="1:3" ht="15.75" thickBot="1" x14ac:dyDescent="0.3">
      <c r="A51" s="46" t="s">
        <v>277</v>
      </c>
      <c r="B51" s="93" t="s">
        <v>283</v>
      </c>
      <c r="C51" s="45"/>
    </row>
    <row r="53" spans="1:3" x14ac:dyDescent="0.25">
      <c r="A53" s="44" t="s">
        <v>279</v>
      </c>
    </row>
    <row r="54" spans="1:3" x14ac:dyDescent="0.25">
      <c r="A54" s="91" t="s">
        <v>280</v>
      </c>
    </row>
    <row r="56" spans="1:3" x14ac:dyDescent="0.25">
      <c r="A56" s="44" t="s">
        <v>68</v>
      </c>
    </row>
    <row r="57" spans="1:3" x14ac:dyDescent="0.25">
      <c r="A57" s="91" t="s">
        <v>67</v>
      </c>
      <c r="B57" s="91" t="s">
        <v>284</v>
      </c>
    </row>
    <row r="58" spans="1:3" x14ac:dyDescent="0.25">
      <c r="A58" s="43" t="s">
        <v>66</v>
      </c>
      <c r="B58" s="91" t="s">
        <v>285</v>
      </c>
    </row>
    <row r="59" spans="1:3" x14ac:dyDescent="0.25">
      <c r="A59" s="43" t="s">
        <v>65</v>
      </c>
      <c r="B59" s="91" t="s">
        <v>286</v>
      </c>
    </row>
    <row r="60" spans="1:3" x14ac:dyDescent="0.25">
      <c r="A60" s="43" t="s">
        <v>64</v>
      </c>
      <c r="B60" s="91" t="s">
        <v>278</v>
      </c>
    </row>
  </sheetData>
  <mergeCells count="42">
    <mergeCell ref="CV7:CX7"/>
    <mergeCell ref="CY7:DA7"/>
    <mergeCell ref="DW7:DY7"/>
    <mergeCell ref="DE7:DG7"/>
    <mergeCell ref="DH7:DJ7"/>
    <mergeCell ref="DK7:DM7"/>
    <mergeCell ref="DN7:DP7"/>
    <mergeCell ref="DQ7:DS7"/>
    <mergeCell ref="DT7:DV7"/>
    <mergeCell ref="DB7:DD7"/>
    <mergeCell ref="CJ7:CL7"/>
    <mergeCell ref="CM7:CO7"/>
    <mergeCell ref="CP7:CR7"/>
    <mergeCell ref="CS7:CU7"/>
    <mergeCell ref="S7:U7"/>
    <mergeCell ref="V7:X7"/>
    <mergeCell ref="Y7:AA7"/>
    <mergeCell ref="AB7:AD7"/>
    <mergeCell ref="AE7:AG7"/>
    <mergeCell ref="AW7:AY7"/>
    <mergeCell ref="AN7:AP7"/>
    <mergeCell ref="BU7:BW7"/>
    <mergeCell ref="BX7:BZ7"/>
    <mergeCell ref="CA7:CC7"/>
    <mergeCell ref="CD7:CF7"/>
    <mergeCell ref="CG7:CI7"/>
    <mergeCell ref="D7:F7"/>
    <mergeCell ref="G7:I7"/>
    <mergeCell ref="J7:L7"/>
    <mergeCell ref="BO7:BQ7"/>
    <mergeCell ref="BR7:BT7"/>
    <mergeCell ref="BL7:BN7"/>
    <mergeCell ref="AT7:AV7"/>
    <mergeCell ref="AQ7:AS7"/>
    <mergeCell ref="M7:O7"/>
    <mergeCell ref="P7:R7"/>
    <mergeCell ref="AZ7:BB7"/>
    <mergeCell ref="BC7:BE7"/>
    <mergeCell ref="BF7:BH7"/>
    <mergeCell ref="BI7:BK7"/>
    <mergeCell ref="AH7:AJ7"/>
    <mergeCell ref="AK7:AM7"/>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A1811-3C40-4FEE-9894-45EC0039AE54}">
  <sheetPr codeName="Sheet29"/>
  <dimension ref="C2:AT25"/>
  <sheetViews>
    <sheetView showGridLines="0" view="pageBreakPreview" zoomScaleNormal="100" zoomScaleSheetLayoutView="100" workbookViewId="0">
      <selection activeCell="F21" sqref="F21"/>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1.7109375" style="73"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+SUM(E24:AT24)</f>
        <v>2034.28754445455</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640.28754445455002</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81" t="s">
        <v>314</v>
      </c>
      <c r="E19" s="77">
        <f>0.924*726</f>
        <v>670.82400000000007</v>
      </c>
      <c r="F19" s="77">
        <f>0.924*1802</f>
        <v>1665.048</v>
      </c>
      <c r="G19" s="77">
        <f>0.924*3075</f>
        <v>2841.3</v>
      </c>
      <c r="H19" s="77">
        <f>0.924*1377</f>
        <v>1272.348</v>
      </c>
      <c r="I19" s="77">
        <f>0.924*37</f>
        <v>34.188000000000002</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x14ac:dyDescent="0.2">
      <c r="C20" s="81" t="s">
        <v>309</v>
      </c>
      <c r="E20" s="77">
        <v>1</v>
      </c>
      <c r="F20" s="77">
        <v>6</v>
      </c>
      <c r="G20" s="77">
        <v>9</v>
      </c>
      <c r="H20" s="77">
        <v>12</v>
      </c>
      <c r="I20" s="77">
        <v>974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-669.82400000000007</v>
      </c>
      <c r="F21" s="75">
        <f t="shared" ref="F21:H21" si="2">F20-F19</f>
        <v>-1659.048</v>
      </c>
      <c r="G21" s="75">
        <f t="shared" si="2"/>
        <v>-2832.3</v>
      </c>
      <c r="H21" s="75">
        <f t="shared" si="2"/>
        <v>-1260.348</v>
      </c>
      <c r="I21" s="75">
        <f>I20-I19</f>
        <v>939.81200000000001</v>
      </c>
      <c r="J21" s="75">
        <v>1074</v>
      </c>
      <c r="K21" s="75">
        <v>993</v>
      </c>
      <c r="L21" s="75">
        <v>1003</v>
      </c>
      <c r="M21" s="10">
        <f>+L21-(($L$21-$Q$21)/($Q$18-$L$18))</f>
        <v>1016</v>
      </c>
      <c r="N21" s="10">
        <f>+M21-(($L$21-$Q$21)/($Q$18-$L$18))</f>
        <v>1029</v>
      </c>
      <c r="O21" s="10">
        <f>+N21-(($L$21-$Q$21)/($Q$18-$L$18))</f>
        <v>1042</v>
      </c>
      <c r="P21" s="10">
        <f>+O21-(($L$21-$Q$21)/($Q$18-$L$18))</f>
        <v>1055</v>
      </c>
      <c r="Q21" s="75">
        <v>1068</v>
      </c>
      <c r="R21" s="10">
        <f t="shared" ref="R21:Z21" si="3">+Q21-(($Q$21-$AA$21)/($AA$18-$Q$18))</f>
        <v>1095.2</v>
      </c>
      <c r="S21" s="10">
        <f t="shared" si="3"/>
        <v>1122.4000000000001</v>
      </c>
      <c r="T21" s="10">
        <f t="shared" si="3"/>
        <v>1149.6000000000001</v>
      </c>
      <c r="U21" s="10">
        <f t="shared" si="3"/>
        <v>1176.8000000000002</v>
      </c>
      <c r="V21" s="10">
        <f t="shared" si="3"/>
        <v>1204.0000000000002</v>
      </c>
      <c r="W21" s="10">
        <f t="shared" si="3"/>
        <v>1231.2000000000003</v>
      </c>
      <c r="X21" s="10">
        <f t="shared" si="3"/>
        <v>1258.4000000000003</v>
      </c>
      <c r="Y21" s="10">
        <f t="shared" si="3"/>
        <v>1285.6000000000004</v>
      </c>
      <c r="Z21" s="10">
        <f t="shared" si="3"/>
        <v>1312.8000000000004</v>
      </c>
      <c r="AA21" s="75">
        <v>1340</v>
      </c>
      <c r="AB21" s="10">
        <f t="shared" ref="AB21:AJ21" si="4">+AA21-(($AA$21-$AK$21)/($AK$18-$AA$18))</f>
        <v>1247.7</v>
      </c>
      <c r="AC21" s="10">
        <f t="shared" si="4"/>
        <v>1155.4000000000001</v>
      </c>
      <c r="AD21" s="10">
        <f t="shared" si="4"/>
        <v>1063.1000000000001</v>
      </c>
      <c r="AE21" s="10">
        <f t="shared" si="4"/>
        <v>970.80000000000018</v>
      </c>
      <c r="AF21" s="10">
        <f t="shared" si="4"/>
        <v>878.50000000000023</v>
      </c>
      <c r="AG21" s="10">
        <f t="shared" si="4"/>
        <v>786.20000000000027</v>
      </c>
      <c r="AH21" s="10">
        <f t="shared" si="4"/>
        <v>693.90000000000032</v>
      </c>
      <c r="AI21" s="10">
        <f t="shared" si="4"/>
        <v>601.60000000000036</v>
      </c>
      <c r="AJ21" s="10">
        <f t="shared" si="4"/>
        <v>509.30000000000035</v>
      </c>
      <c r="AK21" s="75">
        <v>417</v>
      </c>
      <c r="AL21" s="10">
        <f t="shared" ref="AL21:AS21" si="5">+AK21-(($AK$21-$AT$21)/($AT$18-$AK$18))</f>
        <v>379.44444444444446</v>
      </c>
      <c r="AM21" s="10">
        <f t="shared" si="5"/>
        <v>341.88888888888891</v>
      </c>
      <c r="AN21" s="10">
        <f t="shared" si="5"/>
        <v>304.33333333333337</v>
      </c>
      <c r="AO21" s="10">
        <f t="shared" si="5"/>
        <v>266.77777777777783</v>
      </c>
      <c r="AP21" s="10">
        <f t="shared" si="5"/>
        <v>229.22222222222229</v>
      </c>
      <c r="AQ21" s="10">
        <f t="shared" si="5"/>
        <v>191.66666666666674</v>
      </c>
      <c r="AR21" s="10">
        <f t="shared" si="5"/>
        <v>154.1111111111112</v>
      </c>
      <c r="AS21" s="10">
        <f t="shared" si="5"/>
        <v>116.55555555555564</v>
      </c>
      <c r="AT21" s="75">
        <v>79</v>
      </c>
    </row>
    <row r="22" spans="3:46"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row>
    <row r="23" spans="3:46" s="74" customFormat="1" x14ac:dyDescent="0.2">
      <c r="C23" s="12" t="str">
        <f>+CONCATENATE("Facteur d'escompte @ ",E10*100,"%")</f>
        <v>Facteur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 t="shared" ref="E24:AT24" si="7">+SUM(E21,E22)*E23</f>
        <v>-669.82400000000007</v>
      </c>
      <c r="F24" s="22">
        <f t="shared" si="7"/>
        <v>-1508.2254545454546</v>
      </c>
      <c r="G24" s="22">
        <f t="shared" si="7"/>
        <v>-2340.7438016528927</v>
      </c>
      <c r="H24" s="22">
        <f t="shared" si="7"/>
        <v>-946.91810668670144</v>
      </c>
      <c r="I24" s="22">
        <f t="shared" si="7"/>
        <v>641.90424151355762</v>
      </c>
      <c r="J24" s="22">
        <f t="shared" si="7"/>
        <v>666.86950096553244</v>
      </c>
      <c r="K24" s="22">
        <f t="shared" si="7"/>
        <v>560.52261254340078</v>
      </c>
      <c r="L24" s="22">
        <f t="shared" si="7"/>
        <v>514.69759258539852</v>
      </c>
      <c r="M24" s="22">
        <f t="shared" si="7"/>
        <v>473.97149829308887</v>
      </c>
      <c r="N24" s="22">
        <f t="shared" si="7"/>
        <v>436.39644930528669</v>
      </c>
      <c r="O24" s="22">
        <f t="shared" si="7"/>
        <v>401.7361075855718</v>
      </c>
      <c r="P24" s="22">
        <f t="shared" si="7"/>
        <v>369.77106395286876</v>
      </c>
      <c r="Q24" s="22">
        <f t="shared" si="7"/>
        <v>340.29771331466083</v>
      </c>
      <c r="R24" s="22">
        <f t="shared" si="7"/>
        <v>317.24042868762047</v>
      </c>
      <c r="S24" s="22">
        <f t="shared" si="7"/>
        <v>295.56299983314392</v>
      </c>
      <c r="T24" s="22">
        <f t="shared" si="7"/>
        <v>275.20509995479028</v>
      </c>
      <c r="U24" s="22">
        <f t="shared" si="7"/>
        <v>256.10596699784685</v>
      </c>
      <c r="V24" s="22">
        <f t="shared" si="7"/>
        <v>238.20498135576261</v>
      </c>
      <c r="W24" s="22">
        <f t="shared" si="7"/>
        <v>221.44214213622388</v>
      </c>
      <c r="X24" s="22">
        <f t="shared" si="7"/>
        <v>205.7584556561404</v>
      </c>
      <c r="Y24" s="22">
        <f t="shared" si="7"/>
        <v>191.09624818783894</v>
      </c>
      <c r="Z24" s="22">
        <f t="shared" si="7"/>
        <v>177.39941351826874</v>
      </c>
      <c r="AA24" s="22">
        <f t="shared" si="7"/>
        <v>164.61360458872085</v>
      </c>
      <c r="AB24" s="22">
        <f t="shared" si="7"/>
        <v>139.34083747988262</v>
      </c>
      <c r="AC24" s="22">
        <f t="shared" si="7"/>
        <v>117.30267592315782</v>
      </c>
      <c r="AD24" s="22">
        <f t="shared" si="7"/>
        <v>98.119875662036804</v>
      </c>
      <c r="AE24" s="22">
        <f t="shared" si="7"/>
        <v>81.455413663903443</v>
      </c>
      <c r="AF24" s="22">
        <f t="shared" si="7"/>
        <v>67.00994578392627</v>
      </c>
      <c r="AG24" s="22">
        <f t="shared" si="7"/>
        <v>54.517741372507714</v>
      </c>
      <c r="AH24" s="22">
        <f t="shared" si="7"/>
        <v>43.743045649248522</v>
      </c>
      <c r="AI24" s="22">
        <f t="shared" si="7"/>
        <v>34.476825665982666</v>
      </c>
      <c r="AJ24" s="22">
        <f t="shared" si="7"/>
        <v>26.533860178440786</v>
      </c>
      <c r="AK24" s="22">
        <f t="shared" si="7"/>
        <v>19.750137790567798</v>
      </c>
      <c r="AL24" s="22">
        <f t="shared" si="7"/>
        <v>16.337650014482726</v>
      </c>
      <c r="AM24" s="22">
        <f t="shared" si="7"/>
        <v>13.382390282061321</v>
      </c>
      <c r="AN24" s="22">
        <f t="shared" si="7"/>
        <v>10.829428600043119</v>
      </c>
      <c r="AO24" s="22">
        <f t="shared" si="7"/>
        <v>8.6300435025070659</v>
      </c>
      <c r="AP24" s="22">
        <f t="shared" si="7"/>
        <v>6.741047194605307</v>
      </c>
      <c r="AQ24" s="22">
        <f t="shared" si="7"/>
        <v>5.1241820872930655</v>
      </c>
      <c r="AR24" s="22">
        <f t="shared" si="7"/>
        <v>3.7455813201978825</v>
      </c>
      <c r="AS24" s="22">
        <f t="shared" si="7"/>
        <v>2.575286625737419</v>
      </c>
      <c r="AT24" s="22">
        <f t="shared" si="7"/>
        <v>1.5868175672929223</v>
      </c>
    </row>
    <row r="25" spans="3:46" s="74" customFormat="1" x14ac:dyDescent="0.2">
      <c r="C25" s="12" t="s">
        <v>313</v>
      </c>
      <c r="E25" s="24">
        <f>+SUM($E$24:E24)</f>
        <v>-669.82400000000007</v>
      </c>
      <c r="F25" s="24">
        <f>+SUM($E$24:F24)</f>
        <v>-2178.0494545454549</v>
      </c>
      <c r="G25" s="24">
        <f>+SUM($E$24:G24)</f>
        <v>-4518.7932561983471</v>
      </c>
      <c r="H25" s="24">
        <f>+SUM($E$24:H24)</f>
        <v>-5465.7113628850484</v>
      </c>
      <c r="I25" s="24">
        <f>+SUM($E$24:I24)</f>
        <v>-4823.8071213714911</v>
      </c>
      <c r="J25" s="24">
        <f>+SUM($E$24:J24)</f>
        <v>-4156.937620405959</v>
      </c>
      <c r="K25" s="24">
        <f>+SUM($E$24:K24)</f>
        <v>-3596.415007862558</v>
      </c>
      <c r="L25" s="24">
        <f>+SUM($E$24:L24)</f>
        <v>-3081.7174152771595</v>
      </c>
      <c r="M25" s="24">
        <f>+SUM($E$24:M24)</f>
        <v>-2607.7459169840704</v>
      </c>
      <c r="N25" s="24">
        <f>+SUM($E$24:N24)</f>
        <v>-2171.3494676787836</v>
      </c>
      <c r="O25" s="24">
        <f>+SUM($E$24:O24)</f>
        <v>-1769.6133600932119</v>
      </c>
      <c r="P25" s="24">
        <f>+SUM($E$24:P24)</f>
        <v>-1399.842296140343</v>
      </c>
      <c r="Q25" s="24">
        <f>+SUM($E$24:Q24)</f>
        <v>-1059.5445828256823</v>
      </c>
      <c r="R25" s="24">
        <f>+SUM($E$24:R24)</f>
        <v>-742.30415413806179</v>
      </c>
      <c r="S25" s="24">
        <f>+SUM($E$24:S24)</f>
        <v>-446.74115430491787</v>
      </c>
      <c r="T25" s="24">
        <f>+SUM($E$24:T24)</f>
        <v>-171.53605435012759</v>
      </c>
      <c r="U25" s="24">
        <f>+SUM($E$24:U24)</f>
        <v>84.569912647719264</v>
      </c>
      <c r="V25" s="24">
        <f>+SUM($E$24:V24)</f>
        <v>322.7748940034819</v>
      </c>
      <c r="W25" s="24">
        <f>+SUM($E$24:W24)</f>
        <v>544.21703613970578</v>
      </c>
      <c r="X25" s="24">
        <f>+SUM($E$24:X24)</f>
        <v>749.97549179584621</v>
      </c>
      <c r="Y25" s="24">
        <f>+SUM($E$24:Y24)</f>
        <v>941.07173998368512</v>
      </c>
      <c r="Z25" s="24">
        <f>+SUM($E$24:Z24)</f>
        <v>1118.4711535019539</v>
      </c>
      <c r="AA25" s="24">
        <f>+SUM($E$24:AA24)</f>
        <v>1283.0847580906748</v>
      </c>
      <c r="AB25" s="24">
        <f>+SUM($E$24:AB24)</f>
        <v>1422.4255955705573</v>
      </c>
      <c r="AC25" s="24">
        <f>+SUM($E$24:AC24)</f>
        <v>1539.7282714937151</v>
      </c>
      <c r="AD25" s="24">
        <f>+SUM($E$24:AD24)</f>
        <v>1637.8481471557518</v>
      </c>
      <c r="AE25" s="24">
        <f>+SUM($E$24:AE24)</f>
        <v>1719.3035608196553</v>
      </c>
      <c r="AF25" s="24">
        <f>+SUM($E$24:AF24)</f>
        <v>1786.3135066035816</v>
      </c>
      <c r="AG25" s="24">
        <f>+SUM($E$24:AG24)</f>
        <v>1840.8312479760893</v>
      </c>
      <c r="AH25" s="24">
        <f>+SUM($E$24:AH24)</f>
        <v>1884.5742936253378</v>
      </c>
      <c r="AI25" s="24">
        <f>+SUM($E$24:AI24)</f>
        <v>1919.0511192913204</v>
      </c>
      <c r="AJ25" s="24">
        <f>+SUM($E$24:AJ24)</f>
        <v>1945.5849794697613</v>
      </c>
      <c r="AK25" s="24">
        <f>+SUM($E$24:AK24)</f>
        <v>1965.3351172603291</v>
      </c>
      <c r="AL25" s="24">
        <f>+SUM($E$24:AL24)</f>
        <v>1981.6727672748118</v>
      </c>
      <c r="AM25" s="24">
        <f>+SUM($E$24:AM24)</f>
        <v>1995.0551575568732</v>
      </c>
      <c r="AN25" s="24">
        <f>+SUM($E$24:AN24)</f>
        <v>2005.8845861569164</v>
      </c>
      <c r="AO25" s="24">
        <f>+SUM($E$24:AO24)</f>
        <v>2014.5146296594235</v>
      </c>
      <c r="AP25" s="24">
        <f>+SUM($E$24:AP24)</f>
        <v>2021.2556768540287</v>
      </c>
      <c r="AQ25" s="24">
        <f>+SUM($E$24:AQ24)</f>
        <v>2026.3798589413218</v>
      </c>
      <c r="AR25" s="24">
        <f>+SUM($E$24:AR24)</f>
        <v>2030.1254402615198</v>
      </c>
      <c r="AS25" s="24">
        <f>+SUM($E$24:AS24)</f>
        <v>2032.7007268872571</v>
      </c>
      <c r="AT25" s="24">
        <f>+SUM($E$24:AT24)</f>
        <v>2034.28754445455</v>
      </c>
    </row>
  </sheetData>
  <pageMargins left="0.7" right="0.7" top="0.75" bottom="0.75" header="0.3" footer="0.3"/>
  <pageSetup scale="30" orientation="landscape"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4E1A-3A11-4E2A-9A77-FB04DBBC88EB}">
  <sheetPr codeName="Sheet30"/>
  <dimension ref="C2:AT23"/>
  <sheetViews>
    <sheetView showGridLines="0" view="pageBreakPreview" zoomScaleNormal="100" zoomScaleSheetLayoutView="100" workbookViewId="0">
      <selection activeCell="E18" sqref="E18"/>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1.7109375" style="73"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+SUM(E22:AT22)</f>
        <v>1581.2389865691596</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187.23898656915958</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11" t="s">
        <v>312</v>
      </c>
      <c r="E19" s="75">
        <v>-724</v>
      </c>
      <c r="F19" s="75">
        <v>-1796</v>
      </c>
      <c r="G19" s="75">
        <v>-3066</v>
      </c>
      <c r="H19" s="75">
        <v>-1365</v>
      </c>
      <c r="I19" s="75">
        <v>936</v>
      </c>
      <c r="J19" s="75">
        <v>1074</v>
      </c>
      <c r="K19" s="75">
        <v>993</v>
      </c>
      <c r="L19" s="75">
        <v>1003</v>
      </c>
      <c r="M19" s="10">
        <f>+L19-(($L$19-$Q$19)/($Q$18-$L$18))</f>
        <v>1016</v>
      </c>
      <c r="N19" s="10">
        <f t="shared" ref="N19:P19" si="2">+M19-(($L$19-$Q$19)/($Q$18-$L$18))</f>
        <v>1029</v>
      </c>
      <c r="O19" s="10">
        <f t="shared" si="2"/>
        <v>1042</v>
      </c>
      <c r="P19" s="10">
        <f t="shared" si="2"/>
        <v>1055</v>
      </c>
      <c r="Q19" s="75">
        <v>1068</v>
      </c>
      <c r="R19" s="10">
        <f>+Q19-(($Q$19-$AA$19)/($AA$18-$Q$18))</f>
        <v>1095.2</v>
      </c>
      <c r="S19" s="10">
        <f t="shared" ref="S19:Z19" si="3">+R19-(($Q$19-$AA$19)/($AA$18-$Q$18))</f>
        <v>1122.4000000000001</v>
      </c>
      <c r="T19" s="10">
        <f>+S19-(($Q$19-$AA$19)/($AA$18-$Q$18))</f>
        <v>1149.6000000000001</v>
      </c>
      <c r="U19" s="10">
        <f>+T19-(($Q$19-$AA$19)/($AA$18-$Q$18))</f>
        <v>1176.8000000000002</v>
      </c>
      <c r="V19" s="10">
        <f t="shared" si="3"/>
        <v>1204.0000000000002</v>
      </c>
      <c r="W19" s="10">
        <f t="shared" si="3"/>
        <v>1231.2000000000003</v>
      </c>
      <c r="X19" s="10">
        <f t="shared" si="3"/>
        <v>1258.4000000000003</v>
      </c>
      <c r="Y19" s="10">
        <f t="shared" si="3"/>
        <v>1285.6000000000004</v>
      </c>
      <c r="Z19" s="10">
        <f t="shared" si="3"/>
        <v>1312.8000000000004</v>
      </c>
      <c r="AA19" s="75">
        <v>1340</v>
      </c>
      <c r="AB19" s="10">
        <f>+AA19-(($AA$19-$AK$19)/($AK$18-$AA$18))</f>
        <v>1247.7</v>
      </c>
      <c r="AC19" s="10">
        <f t="shared" ref="AC19:AJ19" si="4">+AB19-(($AA$19-$AK$19)/($AK$18-$AA$18))</f>
        <v>1155.4000000000001</v>
      </c>
      <c r="AD19" s="10">
        <f t="shared" si="4"/>
        <v>1063.1000000000001</v>
      </c>
      <c r="AE19" s="10">
        <f t="shared" si="4"/>
        <v>970.80000000000018</v>
      </c>
      <c r="AF19" s="10">
        <f t="shared" si="4"/>
        <v>878.50000000000023</v>
      </c>
      <c r="AG19" s="10">
        <f t="shared" si="4"/>
        <v>786.20000000000027</v>
      </c>
      <c r="AH19" s="10">
        <f t="shared" si="4"/>
        <v>693.90000000000032</v>
      </c>
      <c r="AI19" s="10">
        <f t="shared" si="4"/>
        <v>601.60000000000036</v>
      </c>
      <c r="AJ19" s="10">
        <f t="shared" si="4"/>
        <v>509.30000000000035</v>
      </c>
      <c r="AK19" s="75">
        <v>417</v>
      </c>
      <c r="AL19" s="10">
        <f>+AK19-(($AK$19-$AT$19)/($AT$18-$AK$18))</f>
        <v>379.44444444444446</v>
      </c>
      <c r="AM19" s="10">
        <f t="shared" ref="AM19:AS19" si="5">+AL19-(($AK$19-$AT$19)/($AT$18-$AK$18))</f>
        <v>341.88888888888891</v>
      </c>
      <c r="AN19" s="10">
        <f t="shared" si="5"/>
        <v>304.33333333333337</v>
      </c>
      <c r="AO19" s="10">
        <f t="shared" si="5"/>
        <v>266.77777777777783</v>
      </c>
      <c r="AP19" s="10">
        <f t="shared" si="5"/>
        <v>229.22222222222229</v>
      </c>
      <c r="AQ19" s="10">
        <f t="shared" si="5"/>
        <v>191.66666666666674</v>
      </c>
      <c r="AR19" s="10">
        <f t="shared" si="5"/>
        <v>154.1111111111112</v>
      </c>
      <c r="AS19" s="10">
        <f t="shared" si="5"/>
        <v>116.55555555555564</v>
      </c>
      <c r="AT19" s="75">
        <v>79</v>
      </c>
    </row>
    <row r="20" spans="3:46" x14ac:dyDescent="0.2">
      <c r="C20" s="11" t="s">
        <v>311</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0</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row>
    <row r="21" spans="3:46" s="74" customFormat="1" x14ac:dyDescent="0.2">
      <c r="C21" s="12" t="str">
        <f>+CONCATENATE("Facteur d'escompte @ ",E10*100,"%")</f>
        <v>Facteur d'escompte @ 10%</v>
      </c>
      <c r="E21" s="6">
        <f t="shared" ref="E21:AT21" si="6">+(1+$E$10)^-(E18-($E$18))</f>
        <v>1</v>
      </c>
      <c r="F21" s="6">
        <f>+(1+$E$10)^-(F18-($E$18))</f>
        <v>0.90909090909090906</v>
      </c>
      <c r="G21" s="6">
        <f t="shared" si="6"/>
        <v>0.82644628099173545</v>
      </c>
      <c r="H21" s="6">
        <f t="shared" si="6"/>
        <v>0.75131480090157754</v>
      </c>
      <c r="I21" s="6">
        <f t="shared" si="6"/>
        <v>0.68301345536507052</v>
      </c>
      <c r="J21" s="6">
        <f t="shared" si="6"/>
        <v>0.62092132305915493</v>
      </c>
      <c r="K21" s="6">
        <f t="shared" si="6"/>
        <v>0.56447393005377722</v>
      </c>
      <c r="L21" s="6">
        <f t="shared" si="6"/>
        <v>0.51315811823070645</v>
      </c>
      <c r="M21" s="6">
        <f t="shared" si="6"/>
        <v>0.46650738020973315</v>
      </c>
      <c r="N21" s="6">
        <f t="shared" si="6"/>
        <v>0.42409761837248466</v>
      </c>
      <c r="O21" s="6">
        <f t="shared" si="6"/>
        <v>0.38554328942953148</v>
      </c>
      <c r="P21" s="6">
        <f t="shared" si="6"/>
        <v>0.3504938994813922</v>
      </c>
      <c r="Q21" s="6">
        <f t="shared" si="6"/>
        <v>0.31863081771035656</v>
      </c>
      <c r="R21" s="6">
        <f t="shared" si="6"/>
        <v>0.28966437973668779</v>
      </c>
      <c r="S21" s="6">
        <f t="shared" si="6"/>
        <v>0.26333125430607973</v>
      </c>
      <c r="T21" s="6">
        <f t="shared" si="6"/>
        <v>0.23939204936916339</v>
      </c>
      <c r="U21" s="6">
        <f t="shared" si="6"/>
        <v>0.21762913579014853</v>
      </c>
      <c r="V21" s="6">
        <f t="shared" si="6"/>
        <v>0.19784466890013502</v>
      </c>
      <c r="W21" s="6">
        <f t="shared" si="6"/>
        <v>0.17985878990921364</v>
      </c>
      <c r="X21" s="6">
        <f t="shared" si="6"/>
        <v>0.16350799082655781</v>
      </c>
      <c r="Y21" s="6">
        <f t="shared" si="6"/>
        <v>0.14864362802414349</v>
      </c>
      <c r="Z21" s="6">
        <f t="shared" si="6"/>
        <v>0.13513057093103953</v>
      </c>
      <c r="AA21" s="6">
        <f t="shared" si="6"/>
        <v>0.12284597357367227</v>
      </c>
      <c r="AB21" s="6">
        <f t="shared" si="6"/>
        <v>0.11167815779424752</v>
      </c>
      <c r="AC21" s="6">
        <f t="shared" si="6"/>
        <v>0.10152559799477048</v>
      </c>
      <c r="AD21" s="6">
        <f t="shared" si="6"/>
        <v>9.2295998177064048E-2</v>
      </c>
      <c r="AE21" s="6">
        <f t="shared" si="6"/>
        <v>8.3905452888240042E-2</v>
      </c>
      <c r="AF21" s="6">
        <f t="shared" si="6"/>
        <v>7.6277684443854576E-2</v>
      </c>
      <c r="AG21" s="6">
        <f t="shared" si="6"/>
        <v>6.9343349494413245E-2</v>
      </c>
      <c r="AH21" s="6">
        <f t="shared" si="6"/>
        <v>6.3039408631284766E-2</v>
      </c>
      <c r="AI21" s="6">
        <f t="shared" si="6"/>
        <v>5.7308553301167964E-2</v>
      </c>
      <c r="AJ21" s="6">
        <f t="shared" si="6"/>
        <v>5.2098684819243603E-2</v>
      </c>
      <c r="AK21" s="6">
        <f t="shared" si="6"/>
        <v>4.7362440744766907E-2</v>
      </c>
      <c r="AL21" s="6">
        <f t="shared" si="6"/>
        <v>4.3056764313424457E-2</v>
      </c>
      <c r="AM21" s="6">
        <f t="shared" si="6"/>
        <v>3.9142513012204054E-2</v>
      </c>
      <c r="AN21" s="6">
        <f t="shared" si="6"/>
        <v>3.5584102738367311E-2</v>
      </c>
      <c r="AO21" s="6">
        <f t="shared" si="6"/>
        <v>3.2349184307606652E-2</v>
      </c>
      <c r="AP21" s="6">
        <f t="shared" si="6"/>
        <v>2.94083493705515E-2</v>
      </c>
      <c r="AQ21" s="6">
        <f t="shared" si="6"/>
        <v>2.6734863064137721E-2</v>
      </c>
      <c r="AR21" s="6">
        <f t="shared" si="6"/>
        <v>2.4304420967397926E-2</v>
      </c>
      <c r="AS21" s="6">
        <f t="shared" si="6"/>
        <v>2.2094928152179935E-2</v>
      </c>
      <c r="AT21" s="6">
        <f t="shared" si="6"/>
        <v>2.0086298320163575E-2</v>
      </c>
    </row>
    <row r="22" spans="3:46" x14ac:dyDescent="0.2">
      <c r="C22" s="20" t="s">
        <v>303</v>
      </c>
      <c r="D22" s="21"/>
      <c r="E22" s="22">
        <f t="shared" ref="E22:AT22" si="7">+SUM(E19,E20)*E21</f>
        <v>-724</v>
      </c>
      <c r="F22" s="22">
        <f t="shared" si="7"/>
        <v>-1632.7272727272727</v>
      </c>
      <c r="G22" s="22">
        <f t="shared" si="7"/>
        <v>-2533.8842975206608</v>
      </c>
      <c r="H22" s="22">
        <f t="shared" si="7"/>
        <v>-1025.5447032306533</v>
      </c>
      <c r="I22" s="22">
        <f t="shared" si="7"/>
        <v>639.30059422170598</v>
      </c>
      <c r="J22" s="22">
        <f t="shared" si="7"/>
        <v>666.86950096553244</v>
      </c>
      <c r="K22" s="22">
        <f t="shared" si="7"/>
        <v>560.52261254340078</v>
      </c>
      <c r="L22" s="22">
        <f t="shared" si="7"/>
        <v>514.69759258539852</v>
      </c>
      <c r="M22" s="22">
        <f t="shared" si="7"/>
        <v>473.97149829308887</v>
      </c>
      <c r="N22" s="22">
        <f t="shared" si="7"/>
        <v>436.39644930528669</v>
      </c>
      <c r="O22" s="22">
        <f t="shared" si="7"/>
        <v>401.7361075855718</v>
      </c>
      <c r="P22" s="22">
        <f t="shared" si="7"/>
        <v>369.77106395286876</v>
      </c>
      <c r="Q22" s="22">
        <f t="shared" si="7"/>
        <v>340.29771331466083</v>
      </c>
      <c r="R22" s="22">
        <f t="shared" si="7"/>
        <v>317.24042868762047</v>
      </c>
      <c r="S22" s="22">
        <f t="shared" si="7"/>
        <v>295.56299983314392</v>
      </c>
      <c r="T22" s="22">
        <f t="shared" si="7"/>
        <v>275.20509995479028</v>
      </c>
      <c r="U22" s="22">
        <f t="shared" si="7"/>
        <v>256.10596699784685</v>
      </c>
      <c r="V22" s="22">
        <f t="shared" si="7"/>
        <v>238.20498135576261</v>
      </c>
      <c r="W22" s="22">
        <f t="shared" si="7"/>
        <v>221.44214213622388</v>
      </c>
      <c r="X22" s="22">
        <f t="shared" si="7"/>
        <v>205.7584556561404</v>
      </c>
      <c r="Y22" s="22">
        <f t="shared" si="7"/>
        <v>191.09624818783894</v>
      </c>
      <c r="Z22" s="22">
        <f t="shared" si="7"/>
        <v>177.39941351826874</v>
      </c>
      <c r="AA22" s="22">
        <f t="shared" si="7"/>
        <v>164.61360458872085</v>
      </c>
      <c r="AB22" s="22">
        <f t="shared" si="7"/>
        <v>139.34083747988262</v>
      </c>
      <c r="AC22" s="22">
        <f t="shared" si="7"/>
        <v>117.30267592315782</v>
      </c>
      <c r="AD22" s="22">
        <f t="shared" si="7"/>
        <v>98.119875662036804</v>
      </c>
      <c r="AE22" s="22">
        <f t="shared" si="7"/>
        <v>81.455413663903443</v>
      </c>
      <c r="AF22" s="22">
        <f t="shared" si="7"/>
        <v>67.00994578392627</v>
      </c>
      <c r="AG22" s="22">
        <f t="shared" si="7"/>
        <v>54.517741372507714</v>
      </c>
      <c r="AH22" s="22">
        <f t="shared" si="7"/>
        <v>43.743045649248522</v>
      </c>
      <c r="AI22" s="22">
        <f t="shared" si="7"/>
        <v>34.476825665982666</v>
      </c>
      <c r="AJ22" s="22">
        <f t="shared" si="7"/>
        <v>26.533860178440786</v>
      </c>
      <c r="AK22" s="22">
        <f t="shared" si="7"/>
        <v>19.750137790567798</v>
      </c>
      <c r="AL22" s="22">
        <f t="shared" si="7"/>
        <v>16.337650014482726</v>
      </c>
      <c r="AM22" s="22">
        <f t="shared" si="7"/>
        <v>13.382390282061321</v>
      </c>
      <c r="AN22" s="22">
        <f t="shared" si="7"/>
        <v>10.829428600043119</v>
      </c>
      <c r="AO22" s="22">
        <f t="shared" si="7"/>
        <v>8.6300435025070659</v>
      </c>
      <c r="AP22" s="22">
        <f t="shared" si="7"/>
        <v>6.741047194605307</v>
      </c>
      <c r="AQ22" s="22">
        <f t="shared" si="7"/>
        <v>5.1241820872930655</v>
      </c>
      <c r="AR22" s="22">
        <f t="shared" si="7"/>
        <v>3.7455813201978825</v>
      </c>
      <c r="AS22" s="22">
        <f t="shared" si="7"/>
        <v>2.575286625737419</v>
      </c>
      <c r="AT22" s="22">
        <f t="shared" si="7"/>
        <v>1.5868175672929223</v>
      </c>
    </row>
    <row r="23" spans="3:46" s="74" customFormat="1" x14ac:dyDescent="0.2">
      <c r="C23" s="12" t="s">
        <v>313</v>
      </c>
      <c r="E23" s="24">
        <f>+SUM($E$22:E22)</f>
        <v>-724</v>
      </c>
      <c r="F23" s="24">
        <f>+SUM($E$22:F22)</f>
        <v>-2356.727272727273</v>
      </c>
      <c r="G23" s="24">
        <f>+SUM($E$22:G22)</f>
        <v>-4890.6115702479337</v>
      </c>
      <c r="H23" s="24">
        <f>+SUM($E$22:H22)</f>
        <v>-5916.1562734785875</v>
      </c>
      <c r="I23" s="24">
        <f>+SUM($E$22:I22)</f>
        <v>-5276.8556792568816</v>
      </c>
      <c r="J23" s="24">
        <f>+SUM($E$22:J22)</f>
        <v>-4609.9861782913495</v>
      </c>
      <c r="K23" s="24">
        <f>+SUM($E$22:K22)</f>
        <v>-4049.4635657479485</v>
      </c>
      <c r="L23" s="24">
        <f>+SUM($E$22:L22)</f>
        <v>-3534.7659731625499</v>
      </c>
      <c r="M23" s="24">
        <f>+SUM($E$22:M22)</f>
        <v>-3060.7944748694608</v>
      </c>
      <c r="N23" s="24">
        <f>+SUM($E$22:N22)</f>
        <v>-2624.3980255641741</v>
      </c>
      <c r="O23" s="24">
        <f>+SUM($E$22:O22)</f>
        <v>-2222.6619179786021</v>
      </c>
      <c r="P23" s="24">
        <f>+SUM($E$22:P22)</f>
        <v>-1852.8908540257335</v>
      </c>
      <c r="Q23" s="24">
        <f>+SUM($E$22:Q22)</f>
        <v>-1512.5931407110727</v>
      </c>
      <c r="R23" s="24">
        <f>+SUM($E$22:R22)</f>
        <v>-1195.3527120234521</v>
      </c>
      <c r="S23" s="24">
        <f>+SUM($E$22:S22)</f>
        <v>-899.78971219030814</v>
      </c>
      <c r="T23" s="24">
        <f>+SUM($E$22:T22)</f>
        <v>-624.58461223551785</v>
      </c>
      <c r="U23" s="24">
        <f>+SUM($E$22:U22)</f>
        <v>-368.478645237671</v>
      </c>
      <c r="V23" s="24">
        <f>+SUM($E$22:V22)</f>
        <v>-130.27366388190839</v>
      </c>
      <c r="W23" s="24">
        <f>+SUM($E$22:W22)</f>
        <v>91.168478254315488</v>
      </c>
      <c r="X23" s="24">
        <f>+SUM($E$22:X22)</f>
        <v>296.92693391045589</v>
      </c>
      <c r="Y23" s="24">
        <f>+SUM($E$22:Y22)</f>
        <v>488.0231820982948</v>
      </c>
      <c r="Z23" s="24">
        <f>+SUM($E$22:Z22)</f>
        <v>665.42259561656351</v>
      </c>
      <c r="AA23" s="24">
        <f>+SUM($E$22:AA22)</f>
        <v>830.03620020528433</v>
      </c>
      <c r="AB23" s="24">
        <f>+SUM($E$22:AB22)</f>
        <v>969.3770376851669</v>
      </c>
      <c r="AC23" s="24">
        <f>+SUM($E$22:AC22)</f>
        <v>1086.6797136083246</v>
      </c>
      <c r="AD23" s="24">
        <f>+SUM($E$22:AD22)</f>
        <v>1184.7995892703614</v>
      </c>
      <c r="AE23" s="24">
        <f>+SUM($E$22:AE22)</f>
        <v>1266.2550029342649</v>
      </c>
      <c r="AF23" s="24">
        <f>+SUM($E$22:AF22)</f>
        <v>1333.2649487181911</v>
      </c>
      <c r="AG23" s="24">
        <f>+SUM($E$22:AG22)</f>
        <v>1387.7826900906989</v>
      </c>
      <c r="AH23" s="24">
        <f>+SUM($E$22:AH22)</f>
        <v>1431.5257357399473</v>
      </c>
      <c r="AI23" s="24">
        <f>+SUM($E$22:AI22)</f>
        <v>1466.00256140593</v>
      </c>
      <c r="AJ23" s="24">
        <f>+SUM($E$22:AJ22)</f>
        <v>1492.5364215843708</v>
      </c>
      <c r="AK23" s="24">
        <f>+SUM($E$22:AK22)</f>
        <v>1512.2865593749386</v>
      </c>
      <c r="AL23" s="24">
        <f>+SUM($E$22:AL22)</f>
        <v>1528.6242093894214</v>
      </c>
      <c r="AM23" s="24">
        <f>+SUM($E$22:AM22)</f>
        <v>1542.0065996714827</v>
      </c>
      <c r="AN23" s="24">
        <f>+SUM($E$22:AN22)</f>
        <v>1552.8360282715259</v>
      </c>
      <c r="AO23" s="24">
        <f>+SUM($E$22:AO22)</f>
        <v>1561.466071774033</v>
      </c>
      <c r="AP23" s="24">
        <f>+SUM($E$22:AP22)</f>
        <v>1568.2071189686383</v>
      </c>
      <c r="AQ23" s="24">
        <f>+SUM($E$22:AQ22)</f>
        <v>1573.3313010559314</v>
      </c>
      <c r="AR23" s="24">
        <f>+SUM($E$22:AR22)</f>
        <v>1577.0768823761293</v>
      </c>
      <c r="AS23" s="24">
        <f>+SUM($E$22:AS22)</f>
        <v>1579.6521690018667</v>
      </c>
      <c r="AT23" s="24">
        <f>+SUM($E$22:AT22)</f>
        <v>1581.2389865691596</v>
      </c>
    </row>
  </sheetData>
  <pageMargins left="0.7" right="0.7" top="0.75" bottom="0.75" header="0.3" footer="0.3"/>
  <pageSetup scale="30" orientation="landscape"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1A96-AFC0-4E21-86B7-F1C0C2D1A982}">
  <sheetPr codeName="Sheet31"/>
  <dimension ref="C2:AT25"/>
  <sheetViews>
    <sheetView showGridLines="0" view="pageBreakPreview" zoomScaleNormal="100" zoomScaleSheetLayoutView="100" workbookViewId="0">
      <selection activeCell="E21" sqref="E21:I21"/>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1.7109375" style="73"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+SUM(E24:AT24)</f>
        <v>1127.5564555944995</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-266.44354440550046</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81" t="s">
        <v>308</v>
      </c>
      <c r="E19" s="77">
        <f>1.076*726</f>
        <v>781.17600000000004</v>
      </c>
      <c r="F19" s="77">
        <f>1.076*1802</f>
        <v>1938.9520000000002</v>
      </c>
      <c r="G19" s="77">
        <f>1.076*3075</f>
        <v>3308.7000000000003</v>
      </c>
      <c r="H19" s="77">
        <f>1.076*1377</f>
        <v>1481.652</v>
      </c>
      <c r="I19" s="77">
        <f>1.076*37</f>
        <v>39.812000000000005</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x14ac:dyDescent="0.2">
      <c r="C20" s="81" t="s">
        <v>315</v>
      </c>
      <c r="E20" s="77">
        <v>1</v>
      </c>
      <c r="F20" s="77">
        <v>6</v>
      </c>
      <c r="G20" s="77">
        <v>9</v>
      </c>
      <c r="H20" s="77">
        <v>12</v>
      </c>
      <c r="I20" s="77">
        <v>974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-780.17600000000004</v>
      </c>
      <c r="F21" s="75">
        <f t="shared" ref="F21:H21" si="2">F20-F19</f>
        <v>-1932.9520000000002</v>
      </c>
      <c r="G21" s="75">
        <f t="shared" si="2"/>
        <v>-3299.7000000000003</v>
      </c>
      <c r="H21" s="75">
        <f t="shared" si="2"/>
        <v>-1469.652</v>
      </c>
      <c r="I21" s="75">
        <f>I20-I19</f>
        <v>934.18799999999999</v>
      </c>
      <c r="J21" s="75">
        <v>1074</v>
      </c>
      <c r="K21" s="75">
        <v>993</v>
      </c>
      <c r="L21" s="75">
        <v>1003</v>
      </c>
      <c r="M21" s="10">
        <f>+L21-(($L$21-$Q$21)/($Q$18-$L$18))</f>
        <v>1016</v>
      </c>
      <c r="N21" s="10">
        <f>+M21-(($L$21-$Q$21)/($Q$18-$L$18))</f>
        <v>1029</v>
      </c>
      <c r="O21" s="10">
        <f>+N21-(($L$21-$Q$21)/($Q$18-$L$18))</f>
        <v>1042</v>
      </c>
      <c r="P21" s="10">
        <f>+O21-(($L$21-$Q$21)/($Q$18-$L$18))</f>
        <v>1055</v>
      </c>
      <c r="Q21" s="75">
        <v>1068</v>
      </c>
      <c r="R21" s="10">
        <f t="shared" ref="R21:Z21" si="3">+Q21-(($Q$21-$AA$21)/($AA$18-$Q$18))</f>
        <v>1095.2</v>
      </c>
      <c r="S21" s="10">
        <f t="shared" si="3"/>
        <v>1122.4000000000001</v>
      </c>
      <c r="T21" s="10">
        <f t="shared" si="3"/>
        <v>1149.6000000000001</v>
      </c>
      <c r="U21" s="10">
        <f t="shared" si="3"/>
        <v>1176.8000000000002</v>
      </c>
      <c r="V21" s="10">
        <f t="shared" si="3"/>
        <v>1204.0000000000002</v>
      </c>
      <c r="W21" s="10">
        <f t="shared" si="3"/>
        <v>1231.2000000000003</v>
      </c>
      <c r="X21" s="10">
        <f t="shared" si="3"/>
        <v>1258.4000000000003</v>
      </c>
      <c r="Y21" s="10">
        <f t="shared" si="3"/>
        <v>1285.6000000000004</v>
      </c>
      <c r="Z21" s="10">
        <f t="shared" si="3"/>
        <v>1312.8000000000004</v>
      </c>
      <c r="AA21" s="75">
        <v>1340</v>
      </c>
      <c r="AB21" s="10">
        <f t="shared" ref="AB21:AJ21" si="4">+AA21-(($AA$21-$AK$21)/($AK$18-$AA$18))</f>
        <v>1247.7</v>
      </c>
      <c r="AC21" s="10">
        <f t="shared" si="4"/>
        <v>1155.4000000000001</v>
      </c>
      <c r="AD21" s="10">
        <f t="shared" si="4"/>
        <v>1063.1000000000001</v>
      </c>
      <c r="AE21" s="10">
        <f t="shared" si="4"/>
        <v>970.80000000000018</v>
      </c>
      <c r="AF21" s="10">
        <f t="shared" si="4"/>
        <v>878.50000000000023</v>
      </c>
      <c r="AG21" s="10">
        <f t="shared" si="4"/>
        <v>786.20000000000027</v>
      </c>
      <c r="AH21" s="10">
        <f t="shared" si="4"/>
        <v>693.90000000000032</v>
      </c>
      <c r="AI21" s="10">
        <f t="shared" si="4"/>
        <v>601.60000000000036</v>
      </c>
      <c r="AJ21" s="10">
        <f t="shared" si="4"/>
        <v>509.30000000000035</v>
      </c>
      <c r="AK21" s="75">
        <v>417</v>
      </c>
      <c r="AL21" s="10">
        <f t="shared" ref="AL21:AS21" si="5">+AK21-(($AK$21-$AT$21)/($AT$18-$AK$18))</f>
        <v>379.44444444444446</v>
      </c>
      <c r="AM21" s="10">
        <f t="shared" si="5"/>
        <v>341.88888888888891</v>
      </c>
      <c r="AN21" s="10">
        <f t="shared" si="5"/>
        <v>304.33333333333337</v>
      </c>
      <c r="AO21" s="10">
        <f t="shared" si="5"/>
        <v>266.77777777777783</v>
      </c>
      <c r="AP21" s="10">
        <f t="shared" si="5"/>
        <v>229.22222222222229</v>
      </c>
      <c r="AQ21" s="10">
        <f t="shared" si="5"/>
        <v>191.66666666666674</v>
      </c>
      <c r="AR21" s="10">
        <f t="shared" si="5"/>
        <v>154.1111111111112</v>
      </c>
      <c r="AS21" s="10">
        <f t="shared" si="5"/>
        <v>116.55555555555564</v>
      </c>
      <c r="AT21" s="75">
        <v>79</v>
      </c>
    </row>
    <row r="22" spans="3:46"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row>
    <row r="23" spans="3:46" s="74" customFormat="1" x14ac:dyDescent="0.2">
      <c r="C23" s="12" t="str">
        <f>+CONCATENATE("Facteur d'escompte @ ",E10*100,"%")</f>
        <v>Facteur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 t="shared" ref="E24:AT24" si="7">+SUM(E21,E22)*E23</f>
        <v>-780.17600000000004</v>
      </c>
      <c r="F24" s="22">
        <f t="shared" si="7"/>
        <v>-1757.2290909090912</v>
      </c>
      <c r="G24" s="22">
        <f t="shared" si="7"/>
        <v>-2727.0247933884298</v>
      </c>
      <c r="H24" s="22">
        <f t="shared" si="7"/>
        <v>-1104.1712997746054</v>
      </c>
      <c r="I24" s="22">
        <f t="shared" si="7"/>
        <v>638.0629738405845</v>
      </c>
      <c r="J24" s="22">
        <f t="shared" si="7"/>
        <v>666.86950096553244</v>
      </c>
      <c r="K24" s="22">
        <f t="shared" si="7"/>
        <v>560.52261254340078</v>
      </c>
      <c r="L24" s="22">
        <f t="shared" si="7"/>
        <v>514.69759258539852</v>
      </c>
      <c r="M24" s="22">
        <f t="shared" si="7"/>
        <v>473.97149829308887</v>
      </c>
      <c r="N24" s="22">
        <f t="shared" si="7"/>
        <v>436.39644930528669</v>
      </c>
      <c r="O24" s="22">
        <f t="shared" si="7"/>
        <v>401.7361075855718</v>
      </c>
      <c r="P24" s="22">
        <f t="shared" si="7"/>
        <v>369.77106395286876</v>
      </c>
      <c r="Q24" s="22">
        <f t="shared" si="7"/>
        <v>340.29771331466083</v>
      </c>
      <c r="R24" s="22">
        <f t="shared" si="7"/>
        <v>317.24042868762047</v>
      </c>
      <c r="S24" s="22">
        <f t="shared" si="7"/>
        <v>295.56299983314392</v>
      </c>
      <c r="T24" s="22">
        <f t="shared" si="7"/>
        <v>275.20509995479028</v>
      </c>
      <c r="U24" s="22">
        <f t="shared" si="7"/>
        <v>256.10596699784685</v>
      </c>
      <c r="V24" s="22">
        <f t="shared" si="7"/>
        <v>238.20498135576261</v>
      </c>
      <c r="W24" s="22">
        <f t="shared" si="7"/>
        <v>221.44214213622388</v>
      </c>
      <c r="X24" s="22">
        <f t="shared" si="7"/>
        <v>205.7584556561404</v>
      </c>
      <c r="Y24" s="22">
        <f t="shared" si="7"/>
        <v>191.09624818783894</v>
      </c>
      <c r="Z24" s="22">
        <f t="shared" si="7"/>
        <v>177.39941351826874</v>
      </c>
      <c r="AA24" s="22">
        <f t="shared" si="7"/>
        <v>164.61360458872085</v>
      </c>
      <c r="AB24" s="22">
        <f t="shared" si="7"/>
        <v>139.34083747988262</v>
      </c>
      <c r="AC24" s="22">
        <f t="shared" si="7"/>
        <v>117.30267592315782</v>
      </c>
      <c r="AD24" s="22">
        <f t="shared" si="7"/>
        <v>98.119875662036804</v>
      </c>
      <c r="AE24" s="22">
        <f t="shared" si="7"/>
        <v>81.455413663903443</v>
      </c>
      <c r="AF24" s="22">
        <f t="shared" si="7"/>
        <v>67.00994578392627</v>
      </c>
      <c r="AG24" s="22">
        <f t="shared" si="7"/>
        <v>54.517741372507714</v>
      </c>
      <c r="AH24" s="22">
        <f t="shared" si="7"/>
        <v>43.743045649248522</v>
      </c>
      <c r="AI24" s="22">
        <f t="shared" si="7"/>
        <v>34.476825665982666</v>
      </c>
      <c r="AJ24" s="22">
        <f t="shared" si="7"/>
        <v>26.533860178440786</v>
      </c>
      <c r="AK24" s="22">
        <f t="shared" si="7"/>
        <v>19.750137790567798</v>
      </c>
      <c r="AL24" s="22">
        <f t="shared" si="7"/>
        <v>16.337650014482726</v>
      </c>
      <c r="AM24" s="22">
        <f t="shared" si="7"/>
        <v>13.382390282061321</v>
      </c>
      <c r="AN24" s="22">
        <f t="shared" si="7"/>
        <v>10.829428600043119</v>
      </c>
      <c r="AO24" s="22">
        <f t="shared" si="7"/>
        <v>8.6300435025070659</v>
      </c>
      <c r="AP24" s="22">
        <f t="shared" si="7"/>
        <v>6.741047194605307</v>
      </c>
      <c r="AQ24" s="22">
        <f t="shared" si="7"/>
        <v>5.1241820872930655</v>
      </c>
      <c r="AR24" s="22">
        <f t="shared" si="7"/>
        <v>3.7455813201978825</v>
      </c>
      <c r="AS24" s="22">
        <f t="shared" si="7"/>
        <v>2.575286625737419</v>
      </c>
      <c r="AT24" s="22">
        <f t="shared" si="7"/>
        <v>1.5868175672929223</v>
      </c>
    </row>
    <row r="25" spans="3:46" s="74" customFormat="1" x14ac:dyDescent="0.2">
      <c r="C25" s="12" t="s">
        <v>313</v>
      </c>
      <c r="E25" s="24">
        <f>+SUM($E$24:E24)</f>
        <v>-780.17600000000004</v>
      </c>
      <c r="F25" s="24">
        <f>+SUM($E$24:F24)</f>
        <v>-2537.4050909090911</v>
      </c>
      <c r="G25" s="24">
        <f>+SUM($E$24:G24)</f>
        <v>-5264.4298842975204</v>
      </c>
      <c r="H25" s="24">
        <f>+SUM($E$24:H24)</f>
        <v>-6368.6011840721258</v>
      </c>
      <c r="I25" s="24">
        <f>+SUM($E$24:I24)</f>
        <v>-5730.5382102315416</v>
      </c>
      <c r="J25" s="24">
        <f>+SUM($E$24:J24)</f>
        <v>-5063.6687092660095</v>
      </c>
      <c r="K25" s="24">
        <f>+SUM($E$24:K24)</f>
        <v>-4503.1460967226085</v>
      </c>
      <c r="L25" s="24">
        <f>+SUM($E$24:L24)</f>
        <v>-3988.44850413721</v>
      </c>
      <c r="M25" s="24">
        <f>+SUM($E$24:M24)</f>
        <v>-3514.4770058441209</v>
      </c>
      <c r="N25" s="24">
        <f>+SUM($E$24:N24)</f>
        <v>-3078.0805565388341</v>
      </c>
      <c r="O25" s="24">
        <f>+SUM($E$24:O24)</f>
        <v>-2676.3444489532621</v>
      </c>
      <c r="P25" s="24">
        <f>+SUM($E$24:P24)</f>
        <v>-2306.5733850003935</v>
      </c>
      <c r="Q25" s="24">
        <f>+SUM($E$24:Q24)</f>
        <v>-1966.2756716857327</v>
      </c>
      <c r="R25" s="24">
        <f>+SUM($E$24:R24)</f>
        <v>-1649.0352429981122</v>
      </c>
      <c r="S25" s="24">
        <f>+SUM($E$24:S24)</f>
        <v>-1353.4722431649682</v>
      </c>
      <c r="T25" s="24">
        <f>+SUM($E$24:T24)</f>
        <v>-1078.2671432101779</v>
      </c>
      <c r="U25" s="24">
        <f>+SUM($E$24:U24)</f>
        <v>-822.16117621233104</v>
      </c>
      <c r="V25" s="24">
        <f>+SUM($E$24:V24)</f>
        <v>-583.95619485656846</v>
      </c>
      <c r="W25" s="24">
        <f>+SUM($E$24:W24)</f>
        <v>-362.51405272034458</v>
      </c>
      <c r="X25" s="24">
        <f>+SUM($E$24:X24)</f>
        <v>-156.75559706420418</v>
      </c>
      <c r="Y25" s="24">
        <f>+SUM($E$24:Y24)</f>
        <v>34.340651123634757</v>
      </c>
      <c r="Z25" s="24">
        <f>+SUM($E$24:Z24)</f>
        <v>211.7400646419035</v>
      </c>
      <c r="AA25" s="24">
        <f>+SUM($E$24:AA24)</f>
        <v>376.35366923062435</v>
      </c>
      <c r="AB25" s="24">
        <f>+SUM($E$24:AB24)</f>
        <v>515.69450671050697</v>
      </c>
      <c r="AC25" s="24">
        <f>+SUM($E$24:AC24)</f>
        <v>632.99718263366481</v>
      </c>
      <c r="AD25" s="24">
        <f>+SUM($E$24:AD24)</f>
        <v>731.11705829570155</v>
      </c>
      <c r="AE25" s="24">
        <f>+SUM($E$24:AE24)</f>
        <v>812.57247195960497</v>
      </c>
      <c r="AF25" s="24">
        <f>+SUM($E$24:AF24)</f>
        <v>879.58241774353121</v>
      </c>
      <c r="AG25" s="24">
        <f>+SUM($E$24:AG24)</f>
        <v>934.10015911603887</v>
      </c>
      <c r="AH25" s="24">
        <f>+SUM($E$24:AH24)</f>
        <v>977.8432047652874</v>
      </c>
      <c r="AI25" s="24">
        <f>+SUM($E$24:AI24)</f>
        <v>1012.3200304312701</v>
      </c>
      <c r="AJ25" s="24">
        <f>+SUM($E$24:AJ24)</f>
        <v>1038.8538906097108</v>
      </c>
      <c r="AK25" s="24">
        <f>+SUM($E$24:AK24)</f>
        <v>1058.6040284002786</v>
      </c>
      <c r="AL25" s="24">
        <f>+SUM($E$24:AL24)</f>
        <v>1074.9416784147613</v>
      </c>
      <c r="AM25" s="24">
        <f>+SUM($E$24:AM24)</f>
        <v>1088.3240686968227</v>
      </c>
      <c r="AN25" s="24">
        <f>+SUM($E$24:AN24)</f>
        <v>1099.1534972968659</v>
      </c>
      <c r="AO25" s="24">
        <f>+SUM($E$24:AO24)</f>
        <v>1107.783540799373</v>
      </c>
      <c r="AP25" s="24">
        <f>+SUM($E$24:AP24)</f>
        <v>1114.5245879939782</v>
      </c>
      <c r="AQ25" s="24">
        <f>+SUM($E$24:AQ24)</f>
        <v>1119.6487700812713</v>
      </c>
      <c r="AR25" s="24">
        <f>+SUM($E$24:AR24)</f>
        <v>1123.3943514014693</v>
      </c>
      <c r="AS25" s="24">
        <f>+SUM($E$24:AS24)</f>
        <v>1125.9696380272067</v>
      </c>
      <c r="AT25" s="24">
        <f>+SUM($E$24:AT24)</f>
        <v>1127.5564555944995</v>
      </c>
    </row>
  </sheetData>
  <pageMargins left="0.7" right="0.7" top="0.75" bottom="0.75" header="0.3" footer="0.3"/>
  <pageSetup scale="30" orientation="landscape"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A413-C022-4674-870B-D12C8DEA4F07}">
  <sheetPr codeName="Sheet32"/>
  <dimension ref="C2:AU25"/>
  <sheetViews>
    <sheetView showGridLines="0" view="pageBreakPreview" zoomScaleNormal="100" zoomScaleSheetLayoutView="100" workbookViewId="0">
      <selection activeCell="E13" sqref="E13"/>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5" style="73" bestFit="1"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+SUM(E24:AU24)</f>
        <v>1852.8068511299696</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458.80685112996957</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7" x14ac:dyDescent="0.2">
      <c r="E17" s="1"/>
      <c r="F17" s="1"/>
      <c r="G17" s="1"/>
      <c r="H17" s="1"/>
      <c r="I17" s="1"/>
      <c r="J17" s="1"/>
      <c r="K17" s="1"/>
      <c r="L17" s="1"/>
      <c r="M17" s="1"/>
      <c r="N17" s="1"/>
      <c r="O17" s="1"/>
      <c r="P17" s="1"/>
    </row>
    <row r="18" spans="3:47"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row>
    <row r="19" spans="3:47" x14ac:dyDescent="0.2">
      <c r="C19" s="81" t="s">
        <v>308</v>
      </c>
      <c r="E19" s="77">
        <v>0</v>
      </c>
      <c r="F19" s="77">
        <f>0.924*726</f>
        <v>670.82400000000007</v>
      </c>
      <c r="G19" s="77">
        <f>0.924*1802</f>
        <v>1665.048</v>
      </c>
      <c r="H19" s="77">
        <f>0.924*3075</f>
        <v>2841.3</v>
      </c>
      <c r="I19" s="77">
        <f>0.924*1377</f>
        <v>1272.348</v>
      </c>
      <c r="J19" s="77">
        <f>0.924*37</f>
        <v>34.188000000000002</v>
      </c>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row>
    <row r="20" spans="3:47" x14ac:dyDescent="0.2">
      <c r="C20" s="81" t="s">
        <v>315</v>
      </c>
      <c r="E20" s="77">
        <v>0</v>
      </c>
      <c r="F20" s="77">
        <v>1</v>
      </c>
      <c r="G20" s="77">
        <v>6</v>
      </c>
      <c r="H20" s="77">
        <v>9</v>
      </c>
      <c r="I20" s="77">
        <v>12</v>
      </c>
      <c r="J20" s="77">
        <v>974</v>
      </c>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row>
    <row r="21" spans="3:47" x14ac:dyDescent="0.2">
      <c r="C21" s="11" t="s">
        <v>312</v>
      </c>
      <c r="E21" s="75">
        <f>E20-E19</f>
        <v>0</v>
      </c>
      <c r="F21" s="75">
        <f t="shared" ref="F21:H21" si="2">F20-F19</f>
        <v>-669.82400000000007</v>
      </c>
      <c r="G21" s="75">
        <f t="shared" si="2"/>
        <v>-1659.048</v>
      </c>
      <c r="H21" s="75">
        <f t="shared" si="2"/>
        <v>-2832.3</v>
      </c>
      <c r="I21" s="75">
        <f>I20-I19</f>
        <v>-1260.348</v>
      </c>
      <c r="J21" s="75">
        <f>J20-J19</f>
        <v>939.81200000000001</v>
      </c>
      <c r="K21" s="75">
        <v>1074</v>
      </c>
      <c r="L21" s="75">
        <v>993</v>
      </c>
      <c r="M21" s="75">
        <v>1003</v>
      </c>
      <c r="N21" s="10">
        <f>+M21-(($M$21-$R$21)/($R$18-$M$18))</f>
        <v>1016</v>
      </c>
      <c r="O21" s="10">
        <f>+N21-(($M$21-$R$21)/($R$18-$M$18))</f>
        <v>1029</v>
      </c>
      <c r="P21" s="10">
        <f>+O21-(($M$21-$R$21)/($R$18-$M$18))</f>
        <v>1042</v>
      </c>
      <c r="Q21" s="10">
        <f>+P21-(($M$21-$R$21)/($R$18-$M$18))</f>
        <v>1055</v>
      </c>
      <c r="R21" s="75">
        <v>1068</v>
      </c>
      <c r="S21" s="10">
        <f t="shared" ref="S21:AA21" si="3">+R21-(($R$21-$AB$21)/($AB$18-$R$18))</f>
        <v>1095.2</v>
      </c>
      <c r="T21" s="10">
        <f t="shared" si="3"/>
        <v>1122.4000000000001</v>
      </c>
      <c r="U21" s="10">
        <f t="shared" si="3"/>
        <v>1149.6000000000001</v>
      </c>
      <c r="V21" s="10">
        <f t="shared" si="3"/>
        <v>1176.8000000000002</v>
      </c>
      <c r="W21" s="10">
        <f t="shared" si="3"/>
        <v>1204.0000000000002</v>
      </c>
      <c r="X21" s="10">
        <f t="shared" si="3"/>
        <v>1231.2000000000003</v>
      </c>
      <c r="Y21" s="10">
        <f t="shared" si="3"/>
        <v>1258.4000000000003</v>
      </c>
      <c r="Z21" s="10">
        <f t="shared" si="3"/>
        <v>1285.6000000000004</v>
      </c>
      <c r="AA21" s="10">
        <f t="shared" si="3"/>
        <v>1312.8000000000004</v>
      </c>
      <c r="AB21" s="75">
        <v>1340</v>
      </c>
      <c r="AC21" s="10">
        <f t="shared" ref="AC21:AK21" si="4">+AB21-(($AB$21-$AL$21)/($AL$18-$AB$18))</f>
        <v>1247.7</v>
      </c>
      <c r="AD21" s="10">
        <f t="shared" si="4"/>
        <v>1155.4000000000001</v>
      </c>
      <c r="AE21" s="10">
        <f t="shared" si="4"/>
        <v>1063.1000000000001</v>
      </c>
      <c r="AF21" s="10">
        <f t="shared" si="4"/>
        <v>970.80000000000018</v>
      </c>
      <c r="AG21" s="10">
        <f t="shared" si="4"/>
        <v>878.50000000000023</v>
      </c>
      <c r="AH21" s="10">
        <f t="shared" si="4"/>
        <v>786.20000000000027</v>
      </c>
      <c r="AI21" s="10">
        <f t="shared" si="4"/>
        <v>693.90000000000032</v>
      </c>
      <c r="AJ21" s="10">
        <f t="shared" si="4"/>
        <v>601.60000000000036</v>
      </c>
      <c r="AK21" s="10">
        <f t="shared" si="4"/>
        <v>509.30000000000035</v>
      </c>
      <c r="AL21" s="75">
        <v>417</v>
      </c>
      <c r="AM21" s="10">
        <f t="shared" ref="AM21:AT21" si="5">+AL21-(($AL$21-$AU$21)/($AU$18-$AK$18))</f>
        <v>383.2</v>
      </c>
      <c r="AN21" s="10">
        <f t="shared" si="5"/>
        <v>349.4</v>
      </c>
      <c r="AO21" s="10">
        <f t="shared" si="5"/>
        <v>315.59999999999997</v>
      </c>
      <c r="AP21" s="10">
        <f t="shared" si="5"/>
        <v>281.79999999999995</v>
      </c>
      <c r="AQ21" s="10">
        <f t="shared" si="5"/>
        <v>247.99999999999994</v>
      </c>
      <c r="AR21" s="10">
        <f t="shared" si="5"/>
        <v>214.19999999999993</v>
      </c>
      <c r="AS21" s="10">
        <f t="shared" si="5"/>
        <v>180.39999999999992</v>
      </c>
      <c r="AT21" s="10">
        <f t="shared" si="5"/>
        <v>146.59999999999991</v>
      </c>
      <c r="AU21" s="75">
        <v>79</v>
      </c>
    </row>
    <row r="22" spans="3:47"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row>
    <row r="23" spans="3:47" s="74" customFormat="1" x14ac:dyDescent="0.2">
      <c r="C23" s="12" t="str">
        <f>+CONCATENATE("Facteur d'escompte @ ",E10*100,"%")</f>
        <v>Facteur d'escompte @ 10%</v>
      </c>
      <c r="E23" s="6">
        <f t="shared" ref="E23:AU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1.8260271200148705E-2</v>
      </c>
    </row>
    <row r="24" spans="3:47" x14ac:dyDescent="0.2">
      <c r="C24" s="20" t="s">
        <v>303</v>
      </c>
      <c r="D24" s="21"/>
      <c r="E24" s="22">
        <f>+SUM(E21, E22)*E23</f>
        <v>0</v>
      </c>
      <c r="F24" s="22">
        <f t="shared" ref="F24:AU24" si="7">+SUM(F21, F22)*F23</f>
        <v>-608.93090909090915</v>
      </c>
      <c r="G24" s="22">
        <f t="shared" si="7"/>
        <v>-1371.1140495867767</v>
      </c>
      <c r="H24" s="22">
        <f t="shared" si="7"/>
        <v>-2127.9489105935381</v>
      </c>
      <c r="I24" s="22">
        <f t="shared" si="7"/>
        <v>-860.8346424424559</v>
      </c>
      <c r="J24" s="22">
        <f t="shared" si="7"/>
        <v>583.54931046687057</v>
      </c>
      <c r="K24" s="22">
        <f t="shared" si="7"/>
        <v>606.24500087775675</v>
      </c>
      <c r="L24" s="22">
        <f t="shared" si="7"/>
        <v>509.56601140309152</v>
      </c>
      <c r="M24" s="22">
        <f t="shared" si="7"/>
        <v>467.90690235036237</v>
      </c>
      <c r="N24" s="22">
        <f t="shared" si="7"/>
        <v>430.88318026644441</v>
      </c>
      <c r="O24" s="22">
        <f t="shared" si="7"/>
        <v>396.72404482298788</v>
      </c>
      <c r="P24" s="22">
        <f t="shared" si="7"/>
        <v>365.21464325961068</v>
      </c>
      <c r="Q24" s="22">
        <f t="shared" si="7"/>
        <v>336.15551268442618</v>
      </c>
      <c r="R24" s="22">
        <f t="shared" si="7"/>
        <v>309.36155755878258</v>
      </c>
      <c r="S24" s="22">
        <f t="shared" si="7"/>
        <v>288.40038971601854</v>
      </c>
      <c r="T24" s="22">
        <f t="shared" si="7"/>
        <v>268.69363621194901</v>
      </c>
      <c r="U24" s="22">
        <f t="shared" si="7"/>
        <v>250.18645450435477</v>
      </c>
      <c r="V24" s="22">
        <f t="shared" si="7"/>
        <v>232.82360636167894</v>
      </c>
      <c r="W24" s="22">
        <f t="shared" si="7"/>
        <v>216.54998305069327</v>
      </c>
      <c r="X24" s="22">
        <f t="shared" si="7"/>
        <v>201.31103830565803</v>
      </c>
      <c r="Y24" s="22">
        <f t="shared" si="7"/>
        <v>187.05314150558223</v>
      </c>
      <c r="Z24" s="22">
        <f t="shared" si="7"/>
        <v>173.72386198894446</v>
      </c>
      <c r="AA24" s="22">
        <f t="shared" si="7"/>
        <v>161.27219410751701</v>
      </c>
      <c r="AB24" s="22">
        <f t="shared" si="7"/>
        <v>149.64873144429168</v>
      </c>
      <c r="AC24" s="22">
        <f t="shared" si="7"/>
        <v>126.67348861807514</v>
      </c>
      <c r="AD24" s="22">
        <f t="shared" si="7"/>
        <v>106.63879629377981</v>
      </c>
      <c r="AE24" s="22">
        <f t="shared" si="7"/>
        <v>89.199886965488005</v>
      </c>
      <c r="AF24" s="22">
        <f t="shared" si="7"/>
        <v>74.050376058094031</v>
      </c>
      <c r="AG24" s="22">
        <f t="shared" si="7"/>
        <v>60.918132530842051</v>
      </c>
      <c r="AH24" s="22">
        <f t="shared" si="7"/>
        <v>49.561583065916103</v>
      </c>
      <c r="AI24" s="22">
        <f t="shared" si="7"/>
        <v>39.766405135680465</v>
      </c>
      <c r="AJ24" s="22">
        <f t="shared" si="7"/>
        <v>31.342568787256969</v>
      </c>
      <c r="AK24" s="22">
        <f t="shared" si="7"/>
        <v>24.121691071309801</v>
      </c>
      <c r="AL24" s="22">
        <f t="shared" si="7"/>
        <v>17.954670718697997</v>
      </c>
      <c r="AM24" s="22">
        <f t="shared" si="7"/>
        <v>14.999410986276594</v>
      </c>
      <c r="AN24" s="22">
        <f t="shared" si="7"/>
        <v>12.433085496785537</v>
      </c>
      <c r="AO24" s="22">
        <f t="shared" si="7"/>
        <v>10.209402567480659</v>
      </c>
      <c r="AP24" s="22">
        <f t="shared" si="7"/>
        <v>8.2872728526214114</v>
      </c>
      <c r="AQ24" s="22">
        <f t="shared" si="7"/>
        <v>6.6302460399061536</v>
      </c>
      <c r="AR24" s="22">
        <f t="shared" si="7"/>
        <v>5.2060069712166337</v>
      </c>
      <c r="AS24" s="22">
        <f t="shared" si="7"/>
        <v>3.9859250386532588</v>
      </c>
      <c r="AT24" s="22">
        <f t="shared" si="7"/>
        <v>2.9446513337359783</v>
      </c>
      <c r="AU24" s="22">
        <f t="shared" si="7"/>
        <v>1.4425614248117478</v>
      </c>
    </row>
    <row r="25" spans="3:47" s="74" customFormat="1" x14ac:dyDescent="0.2">
      <c r="C25" s="12" t="s">
        <v>313</v>
      </c>
      <c r="E25" s="24">
        <f>+SUM($E$24:E24)</f>
        <v>0</v>
      </c>
      <c r="F25" s="24">
        <f>+SUM($E$24:F24)</f>
        <v>-608.93090909090915</v>
      </c>
      <c r="G25" s="24">
        <f>+SUM($E$24:G24)</f>
        <v>-1980.0449586776858</v>
      </c>
      <c r="H25" s="24">
        <f>+SUM($E$24:H24)</f>
        <v>-4107.993869271224</v>
      </c>
      <c r="I25" s="24">
        <f>+SUM($E$24:I24)</f>
        <v>-4968.8285117136802</v>
      </c>
      <c r="J25" s="24">
        <f>+SUM($E$24:J24)</f>
        <v>-4385.2792012468099</v>
      </c>
      <c r="K25" s="24">
        <f>+SUM($E$24:K24)</f>
        <v>-3779.034200369053</v>
      </c>
      <c r="L25" s="24">
        <f>+SUM($E$24:L24)</f>
        <v>-3269.4681889659614</v>
      </c>
      <c r="M25" s="24">
        <f>+SUM($E$24:M24)</f>
        <v>-2801.5612866155989</v>
      </c>
      <c r="N25" s="24">
        <f>+SUM($E$24:N24)</f>
        <v>-2370.6781063491544</v>
      </c>
      <c r="O25" s="24">
        <f>+SUM($E$24:O24)</f>
        <v>-1973.9540615261665</v>
      </c>
      <c r="P25" s="24">
        <f>+SUM($E$24:P24)</f>
        <v>-1608.7394182665557</v>
      </c>
      <c r="Q25" s="24">
        <f>+SUM($E$24:Q24)</f>
        <v>-1272.5839055821295</v>
      </c>
      <c r="R25" s="24">
        <f>+SUM($E$24:R24)</f>
        <v>-963.22234802334697</v>
      </c>
      <c r="S25" s="24">
        <f>+SUM($E$24:S24)</f>
        <v>-674.82195830732849</v>
      </c>
      <c r="T25" s="24">
        <f>+SUM($E$24:T24)</f>
        <v>-406.12832209537947</v>
      </c>
      <c r="U25" s="24">
        <f>+SUM($E$24:U24)</f>
        <v>-155.9418675910247</v>
      </c>
      <c r="V25" s="24">
        <f>+SUM($E$24:V24)</f>
        <v>76.881738770654238</v>
      </c>
      <c r="W25" s="24">
        <f>+SUM($E$24:W24)</f>
        <v>293.43172182134754</v>
      </c>
      <c r="X25" s="24">
        <f>+SUM($E$24:X24)</f>
        <v>494.74276012700557</v>
      </c>
      <c r="Y25" s="24">
        <f>+SUM($E$24:Y24)</f>
        <v>681.79590163258786</v>
      </c>
      <c r="Z25" s="24">
        <f>+SUM($E$24:Z24)</f>
        <v>855.51976362153232</v>
      </c>
      <c r="AA25" s="24">
        <f>+SUM($E$24:AA24)</f>
        <v>1016.7919577290493</v>
      </c>
      <c r="AB25" s="24">
        <f>+SUM($E$24:AB24)</f>
        <v>1166.4406891733411</v>
      </c>
      <c r="AC25" s="24">
        <f>+SUM($E$24:AC24)</f>
        <v>1293.1141777914163</v>
      </c>
      <c r="AD25" s="24">
        <f>+SUM($E$24:AD24)</f>
        <v>1399.752974085196</v>
      </c>
      <c r="AE25" s="24">
        <f>+SUM($E$24:AE24)</f>
        <v>1488.9528610506841</v>
      </c>
      <c r="AF25" s="24">
        <f>+SUM($E$24:AF24)</f>
        <v>1563.0032371087782</v>
      </c>
      <c r="AG25" s="24">
        <f>+SUM($E$24:AG24)</f>
        <v>1623.9213696396203</v>
      </c>
      <c r="AH25" s="24">
        <f>+SUM($E$24:AH24)</f>
        <v>1673.4829527055363</v>
      </c>
      <c r="AI25" s="24">
        <f>+SUM($E$24:AI24)</f>
        <v>1713.2493578412168</v>
      </c>
      <c r="AJ25" s="24">
        <f>+SUM($E$24:AJ24)</f>
        <v>1744.5919266284739</v>
      </c>
      <c r="AK25" s="24">
        <f>+SUM($E$24:AK24)</f>
        <v>1768.7136176997838</v>
      </c>
      <c r="AL25" s="24">
        <f>+SUM($E$24:AL24)</f>
        <v>1786.6682884184818</v>
      </c>
      <c r="AM25" s="24">
        <f>+SUM($E$24:AM24)</f>
        <v>1801.6676994047584</v>
      </c>
      <c r="AN25" s="24">
        <f>+SUM($E$24:AN24)</f>
        <v>1814.1007849015439</v>
      </c>
      <c r="AO25" s="24">
        <f>+SUM($E$24:AO24)</f>
        <v>1824.3101874690246</v>
      </c>
      <c r="AP25" s="24">
        <f>+SUM($E$24:AP24)</f>
        <v>1832.5974603216459</v>
      </c>
      <c r="AQ25" s="24">
        <f>+SUM($E$24:AQ24)</f>
        <v>1839.227706361552</v>
      </c>
      <c r="AR25" s="24">
        <f>+SUM($E$24:AR24)</f>
        <v>1844.4337133327685</v>
      </c>
      <c r="AS25" s="24">
        <f>+SUM($E$24:AS24)</f>
        <v>1848.4196383714218</v>
      </c>
      <c r="AT25" s="24">
        <f>+SUM($E$24:AT24)</f>
        <v>1851.3642897051577</v>
      </c>
      <c r="AU25" s="24">
        <f>+SUM($E$24:AU24)</f>
        <v>1852.8068511299696</v>
      </c>
    </row>
  </sheetData>
  <pageMargins left="0.7" right="0.7" top="0.75" bottom="0.75" header="0.3" footer="0.3"/>
  <pageSetup scale="30" orientation="landscape"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0E06-7CB0-449D-BBA8-DA4C805DC7FD}">
  <sheetPr codeName="Sheet33"/>
  <dimension ref="C2:AU23"/>
  <sheetViews>
    <sheetView showGridLines="0" view="pageBreakPreview" zoomScaleNormal="100" zoomScaleSheetLayoutView="100" workbookViewId="0">
      <selection activeCell="E13" sqref="E13"/>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4.7109375" style="73" bestFit="1"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+SUM(E22:AU22)</f>
        <v>1437.4899877901464</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43.489987790146415</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7" x14ac:dyDescent="0.2">
      <c r="E17" s="1"/>
      <c r="F17" s="1"/>
      <c r="G17" s="1"/>
      <c r="H17" s="1"/>
      <c r="I17" s="1"/>
      <c r="J17" s="1"/>
      <c r="K17" s="1"/>
      <c r="L17" s="1"/>
      <c r="M17" s="1"/>
      <c r="N17" s="1"/>
      <c r="O17" s="1"/>
      <c r="P17" s="1"/>
    </row>
    <row r="18" spans="3:47"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row>
    <row r="19" spans="3:47" x14ac:dyDescent="0.2">
      <c r="C19" s="11" t="s">
        <v>312</v>
      </c>
      <c r="E19" s="75">
        <v>0</v>
      </c>
      <c r="F19" s="75">
        <v>-724</v>
      </c>
      <c r="G19" s="75">
        <v>-1796</v>
      </c>
      <c r="H19" s="75">
        <v>-3066</v>
      </c>
      <c r="I19" s="75">
        <v>-1365</v>
      </c>
      <c r="J19" s="75">
        <v>936</v>
      </c>
      <c r="K19" s="75">
        <v>1074</v>
      </c>
      <c r="L19" s="75">
        <v>993</v>
      </c>
      <c r="M19" s="75">
        <v>1003</v>
      </c>
      <c r="N19" s="10">
        <v>1016</v>
      </c>
      <c r="O19" s="10">
        <v>1029</v>
      </c>
      <c r="P19" s="10">
        <v>1042</v>
      </c>
      <c r="Q19" s="10">
        <v>1055</v>
      </c>
      <c r="R19" s="75">
        <v>1068</v>
      </c>
      <c r="S19" s="10">
        <v>1095.2</v>
      </c>
      <c r="T19" s="10">
        <v>1122.4000000000001</v>
      </c>
      <c r="U19" s="10">
        <v>1149.6000000000001</v>
      </c>
      <c r="V19" s="10">
        <v>1176.8000000000002</v>
      </c>
      <c r="W19" s="10">
        <v>1204.0000000000002</v>
      </c>
      <c r="X19" s="10">
        <v>1231.2000000000003</v>
      </c>
      <c r="Y19" s="10">
        <v>1258.4000000000003</v>
      </c>
      <c r="Z19" s="10">
        <v>1285.6000000000004</v>
      </c>
      <c r="AA19" s="10">
        <v>1312.8000000000004</v>
      </c>
      <c r="AB19" s="75">
        <v>1340</v>
      </c>
      <c r="AC19" s="10">
        <v>1247.7</v>
      </c>
      <c r="AD19" s="10">
        <v>1155.4000000000001</v>
      </c>
      <c r="AE19" s="10">
        <v>1063.1000000000001</v>
      </c>
      <c r="AF19" s="10">
        <v>970.80000000000018</v>
      </c>
      <c r="AG19" s="10">
        <v>878.50000000000023</v>
      </c>
      <c r="AH19" s="10">
        <v>786.20000000000027</v>
      </c>
      <c r="AI19" s="10">
        <v>693.90000000000032</v>
      </c>
      <c r="AJ19" s="10">
        <v>601.60000000000036</v>
      </c>
      <c r="AK19" s="10">
        <v>509.30000000000035</v>
      </c>
      <c r="AL19" s="75">
        <v>417</v>
      </c>
      <c r="AM19" s="10">
        <v>379.44444444444446</v>
      </c>
      <c r="AN19" s="10">
        <v>341.88888888888891</v>
      </c>
      <c r="AO19" s="10">
        <v>304.33333333333337</v>
      </c>
      <c r="AP19" s="10">
        <v>266.77777777777783</v>
      </c>
      <c r="AQ19" s="10">
        <v>229.22222222222229</v>
      </c>
      <c r="AR19" s="10">
        <v>191.66666666666674</v>
      </c>
      <c r="AS19" s="10">
        <v>154.1111111111112</v>
      </c>
      <c r="AT19" s="10">
        <v>116.55555555555564</v>
      </c>
      <c r="AU19" s="75">
        <v>79</v>
      </c>
    </row>
    <row r="20" spans="3:47" x14ac:dyDescent="0.2">
      <c r="C20" s="11" t="s">
        <v>311</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0</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c r="AU20" s="75">
        <v>0</v>
      </c>
    </row>
    <row r="21" spans="3:47" s="74" customFormat="1" x14ac:dyDescent="0.2">
      <c r="C21" s="12" t="str">
        <f>+CONCATENATE("Facteur d'escompte @ ",E10*100,"%")</f>
        <v>Facteur d'escompte @ 10%</v>
      </c>
      <c r="E21" s="6">
        <f t="shared" ref="E21:AU21" si="2">+(1+$E$10)^-(E18-($E$18))</f>
        <v>1</v>
      </c>
      <c r="F21" s="6">
        <f t="shared" si="2"/>
        <v>0.90909090909090906</v>
      </c>
      <c r="G21" s="6">
        <f t="shared" si="2"/>
        <v>0.82644628099173545</v>
      </c>
      <c r="H21" s="6">
        <f t="shared" si="2"/>
        <v>0.75131480090157754</v>
      </c>
      <c r="I21" s="6">
        <f t="shared" si="2"/>
        <v>0.68301345536507052</v>
      </c>
      <c r="J21" s="6">
        <f t="shared" si="2"/>
        <v>0.62092132305915493</v>
      </c>
      <c r="K21" s="6">
        <f t="shared" si="2"/>
        <v>0.56447393005377722</v>
      </c>
      <c r="L21" s="6">
        <f t="shared" si="2"/>
        <v>0.51315811823070645</v>
      </c>
      <c r="M21" s="6">
        <f t="shared" si="2"/>
        <v>0.46650738020973315</v>
      </c>
      <c r="N21" s="6">
        <f t="shared" si="2"/>
        <v>0.42409761837248466</v>
      </c>
      <c r="O21" s="6">
        <f t="shared" si="2"/>
        <v>0.38554328942953148</v>
      </c>
      <c r="P21" s="6">
        <f t="shared" si="2"/>
        <v>0.3504938994813922</v>
      </c>
      <c r="Q21" s="6">
        <f t="shared" si="2"/>
        <v>0.31863081771035656</v>
      </c>
      <c r="R21" s="6">
        <f t="shared" si="2"/>
        <v>0.28966437973668779</v>
      </c>
      <c r="S21" s="6">
        <f t="shared" si="2"/>
        <v>0.26333125430607973</v>
      </c>
      <c r="T21" s="6">
        <f t="shared" si="2"/>
        <v>0.23939204936916339</v>
      </c>
      <c r="U21" s="6">
        <f t="shared" si="2"/>
        <v>0.21762913579014853</v>
      </c>
      <c r="V21" s="6">
        <f t="shared" si="2"/>
        <v>0.19784466890013502</v>
      </c>
      <c r="W21" s="6">
        <f t="shared" si="2"/>
        <v>0.17985878990921364</v>
      </c>
      <c r="X21" s="6">
        <f t="shared" si="2"/>
        <v>0.16350799082655781</v>
      </c>
      <c r="Y21" s="6">
        <f t="shared" si="2"/>
        <v>0.14864362802414349</v>
      </c>
      <c r="Z21" s="6">
        <f t="shared" si="2"/>
        <v>0.13513057093103953</v>
      </c>
      <c r="AA21" s="6">
        <f t="shared" si="2"/>
        <v>0.12284597357367227</v>
      </c>
      <c r="AB21" s="6">
        <f t="shared" si="2"/>
        <v>0.11167815779424752</v>
      </c>
      <c r="AC21" s="6">
        <f t="shared" si="2"/>
        <v>0.10152559799477048</v>
      </c>
      <c r="AD21" s="6">
        <f t="shared" si="2"/>
        <v>9.2295998177064048E-2</v>
      </c>
      <c r="AE21" s="6">
        <f t="shared" si="2"/>
        <v>8.3905452888240042E-2</v>
      </c>
      <c r="AF21" s="6">
        <f t="shared" si="2"/>
        <v>7.6277684443854576E-2</v>
      </c>
      <c r="AG21" s="6">
        <f t="shared" si="2"/>
        <v>6.9343349494413245E-2</v>
      </c>
      <c r="AH21" s="6">
        <f t="shared" si="2"/>
        <v>6.3039408631284766E-2</v>
      </c>
      <c r="AI21" s="6">
        <f t="shared" si="2"/>
        <v>5.7308553301167964E-2</v>
      </c>
      <c r="AJ21" s="6">
        <f t="shared" si="2"/>
        <v>5.2098684819243603E-2</v>
      </c>
      <c r="AK21" s="6">
        <f t="shared" si="2"/>
        <v>4.7362440744766907E-2</v>
      </c>
      <c r="AL21" s="6">
        <f t="shared" si="2"/>
        <v>4.3056764313424457E-2</v>
      </c>
      <c r="AM21" s="6">
        <f t="shared" si="2"/>
        <v>3.9142513012204054E-2</v>
      </c>
      <c r="AN21" s="6">
        <f t="shared" si="2"/>
        <v>3.5584102738367311E-2</v>
      </c>
      <c r="AO21" s="6">
        <f t="shared" si="2"/>
        <v>3.2349184307606652E-2</v>
      </c>
      <c r="AP21" s="6">
        <f t="shared" si="2"/>
        <v>2.94083493705515E-2</v>
      </c>
      <c r="AQ21" s="6">
        <f t="shared" si="2"/>
        <v>2.6734863064137721E-2</v>
      </c>
      <c r="AR21" s="6">
        <f t="shared" si="2"/>
        <v>2.4304420967397926E-2</v>
      </c>
      <c r="AS21" s="6">
        <f t="shared" si="2"/>
        <v>2.2094928152179935E-2</v>
      </c>
      <c r="AT21" s="6">
        <f t="shared" si="2"/>
        <v>2.0086298320163575E-2</v>
      </c>
      <c r="AU21" s="6">
        <f t="shared" si="2"/>
        <v>1.8260271200148705E-2</v>
      </c>
    </row>
    <row r="22" spans="3:47" x14ac:dyDescent="0.2">
      <c r="C22" s="20" t="s">
        <v>303</v>
      </c>
      <c r="D22" s="21"/>
      <c r="E22" s="22">
        <f>+SUM(E19, E20)*E21</f>
        <v>0</v>
      </c>
      <c r="F22" s="22">
        <f t="shared" ref="F22:AU22" si="3">+SUM(F19, F20)*F21</f>
        <v>-658.18181818181813</v>
      </c>
      <c r="G22" s="22">
        <f t="shared" si="3"/>
        <v>-1484.2975206611568</v>
      </c>
      <c r="H22" s="22">
        <f t="shared" si="3"/>
        <v>-2303.5311795642369</v>
      </c>
      <c r="I22" s="22">
        <f t="shared" si="3"/>
        <v>-932.31336657332122</v>
      </c>
      <c r="J22" s="22">
        <f t="shared" si="3"/>
        <v>581.18235838336898</v>
      </c>
      <c r="K22" s="22">
        <f t="shared" si="3"/>
        <v>606.24500087775675</v>
      </c>
      <c r="L22" s="22">
        <f t="shared" si="3"/>
        <v>509.56601140309152</v>
      </c>
      <c r="M22" s="22">
        <f t="shared" si="3"/>
        <v>467.90690235036237</v>
      </c>
      <c r="N22" s="22">
        <f t="shared" si="3"/>
        <v>430.88318026644441</v>
      </c>
      <c r="O22" s="22">
        <f t="shared" si="3"/>
        <v>396.72404482298788</v>
      </c>
      <c r="P22" s="22">
        <f t="shared" si="3"/>
        <v>365.21464325961068</v>
      </c>
      <c r="Q22" s="22">
        <f t="shared" si="3"/>
        <v>336.15551268442618</v>
      </c>
      <c r="R22" s="22">
        <f t="shared" si="3"/>
        <v>309.36155755878258</v>
      </c>
      <c r="S22" s="22">
        <f t="shared" si="3"/>
        <v>288.40038971601854</v>
      </c>
      <c r="T22" s="22">
        <f t="shared" si="3"/>
        <v>268.69363621194901</v>
      </c>
      <c r="U22" s="22">
        <f t="shared" si="3"/>
        <v>250.18645450435477</v>
      </c>
      <c r="V22" s="22">
        <f t="shared" si="3"/>
        <v>232.82360636167894</v>
      </c>
      <c r="W22" s="22">
        <f t="shared" si="3"/>
        <v>216.54998305069327</v>
      </c>
      <c r="X22" s="22">
        <f t="shared" si="3"/>
        <v>201.31103830565803</v>
      </c>
      <c r="Y22" s="22">
        <f t="shared" si="3"/>
        <v>187.05314150558223</v>
      </c>
      <c r="Z22" s="22">
        <f t="shared" si="3"/>
        <v>173.72386198894446</v>
      </c>
      <c r="AA22" s="22">
        <f t="shared" si="3"/>
        <v>161.27219410751701</v>
      </c>
      <c r="AB22" s="22">
        <f t="shared" si="3"/>
        <v>149.64873144429168</v>
      </c>
      <c r="AC22" s="22">
        <f t="shared" si="3"/>
        <v>126.67348861807514</v>
      </c>
      <c r="AD22" s="22">
        <f t="shared" si="3"/>
        <v>106.63879629377981</v>
      </c>
      <c r="AE22" s="22">
        <f t="shared" si="3"/>
        <v>89.199886965488005</v>
      </c>
      <c r="AF22" s="22">
        <f t="shared" si="3"/>
        <v>74.050376058094031</v>
      </c>
      <c r="AG22" s="22">
        <f t="shared" si="3"/>
        <v>60.918132530842051</v>
      </c>
      <c r="AH22" s="22">
        <f t="shared" si="3"/>
        <v>49.561583065916103</v>
      </c>
      <c r="AI22" s="22">
        <f t="shared" si="3"/>
        <v>39.766405135680465</v>
      </c>
      <c r="AJ22" s="22">
        <f t="shared" si="3"/>
        <v>31.342568787256969</v>
      </c>
      <c r="AK22" s="22">
        <f t="shared" si="3"/>
        <v>24.121691071309801</v>
      </c>
      <c r="AL22" s="22">
        <f t="shared" si="3"/>
        <v>17.954670718697997</v>
      </c>
      <c r="AM22" s="22">
        <f t="shared" si="3"/>
        <v>14.852409104075205</v>
      </c>
      <c r="AN22" s="22">
        <f t="shared" si="3"/>
        <v>12.165809347328469</v>
      </c>
      <c r="AO22" s="22">
        <f t="shared" si="3"/>
        <v>9.844935090948292</v>
      </c>
      <c r="AP22" s="22">
        <f t="shared" si="3"/>
        <v>7.8454940931882406</v>
      </c>
      <c r="AQ22" s="22">
        <f t="shared" si="3"/>
        <v>6.1282247223684596</v>
      </c>
      <c r="AR22" s="22">
        <f t="shared" si="3"/>
        <v>4.6583473520846042</v>
      </c>
      <c r="AS22" s="22">
        <f t="shared" si="3"/>
        <v>3.4050739274526207</v>
      </c>
      <c r="AT22" s="22">
        <f t="shared" si="3"/>
        <v>2.3411696597612894</v>
      </c>
      <c r="AU22" s="22">
        <f t="shared" si="3"/>
        <v>1.4425614248117478</v>
      </c>
    </row>
    <row r="23" spans="3:47" s="74" customFormat="1" x14ac:dyDescent="0.2">
      <c r="C23" s="12" t="s">
        <v>313</v>
      </c>
      <c r="E23" s="24">
        <f>+SUM($E$22:E22)</f>
        <v>0</v>
      </c>
      <c r="F23" s="24">
        <f>+SUM($E$22:F22)</f>
        <v>-658.18181818181813</v>
      </c>
      <c r="G23" s="24">
        <f>+SUM($E$22:G22)</f>
        <v>-2142.4793388429748</v>
      </c>
      <c r="H23" s="24">
        <f>+SUM($E$22:H22)</f>
        <v>-4446.0105184072117</v>
      </c>
      <c r="I23" s="24">
        <f>+SUM($E$22:I22)</f>
        <v>-5378.323884980533</v>
      </c>
      <c r="J23" s="24">
        <f>+SUM($E$22:J22)</f>
        <v>-4797.1415265971636</v>
      </c>
      <c r="K23" s="24">
        <f>+SUM($E$22:K22)</f>
        <v>-4190.8965257194068</v>
      </c>
      <c r="L23" s="24">
        <f>+SUM($E$22:L22)</f>
        <v>-3681.3305143163152</v>
      </c>
      <c r="M23" s="24">
        <f>+SUM($E$22:M22)</f>
        <v>-3213.4236119659527</v>
      </c>
      <c r="N23" s="24">
        <f>+SUM($E$22:N22)</f>
        <v>-2782.5404316995082</v>
      </c>
      <c r="O23" s="24">
        <f>+SUM($E$22:O22)</f>
        <v>-2385.8163868765205</v>
      </c>
      <c r="P23" s="24">
        <f>+SUM($E$22:P22)</f>
        <v>-2020.6017436169097</v>
      </c>
      <c r="Q23" s="24">
        <f>+SUM($E$22:Q22)</f>
        <v>-1684.4462309324836</v>
      </c>
      <c r="R23" s="24">
        <f>+SUM($E$22:R22)</f>
        <v>-1375.084673373701</v>
      </c>
      <c r="S23" s="24">
        <f>+SUM($E$22:S22)</f>
        <v>-1086.6842836576825</v>
      </c>
      <c r="T23" s="24">
        <f>+SUM($E$22:T22)</f>
        <v>-817.99064744573343</v>
      </c>
      <c r="U23" s="24">
        <f>+SUM($E$22:U22)</f>
        <v>-567.80419294137869</v>
      </c>
      <c r="V23" s="24">
        <f>+SUM($E$22:V22)</f>
        <v>-334.98058657969978</v>
      </c>
      <c r="W23" s="24">
        <f>+SUM($E$22:W22)</f>
        <v>-118.4306035290065</v>
      </c>
      <c r="X23" s="24">
        <f>+SUM($E$22:X22)</f>
        <v>82.880434776651526</v>
      </c>
      <c r="Y23" s="24">
        <f>+SUM($E$22:Y22)</f>
        <v>269.93357628223373</v>
      </c>
      <c r="Z23" s="24">
        <f>+SUM($E$22:Z22)</f>
        <v>443.65743827117819</v>
      </c>
      <c r="AA23" s="24">
        <f>+SUM($E$22:AA22)</f>
        <v>604.92963237869526</v>
      </c>
      <c r="AB23" s="24">
        <f>+SUM($E$22:AB22)</f>
        <v>754.57836382298694</v>
      </c>
      <c r="AC23" s="24">
        <f>+SUM($E$22:AC22)</f>
        <v>881.25185244106206</v>
      </c>
      <c r="AD23" s="24">
        <f>+SUM($E$22:AD22)</f>
        <v>987.89064873484188</v>
      </c>
      <c r="AE23" s="24">
        <f>+SUM($E$22:AE22)</f>
        <v>1077.0905357003298</v>
      </c>
      <c r="AF23" s="24">
        <f>+SUM($E$22:AF22)</f>
        <v>1151.140911758424</v>
      </c>
      <c r="AG23" s="24">
        <f>+SUM($E$22:AG22)</f>
        <v>1212.059044289266</v>
      </c>
      <c r="AH23" s="24">
        <f>+SUM($E$22:AH22)</f>
        <v>1261.620627355182</v>
      </c>
      <c r="AI23" s="24">
        <f>+SUM($E$22:AI22)</f>
        <v>1301.3870324908626</v>
      </c>
      <c r="AJ23" s="24">
        <f>+SUM($E$22:AJ22)</f>
        <v>1332.7296012781196</v>
      </c>
      <c r="AK23" s="24">
        <f>+SUM($E$22:AK22)</f>
        <v>1356.8512923494295</v>
      </c>
      <c r="AL23" s="24">
        <f>+SUM($E$22:AL22)</f>
        <v>1374.8059630681275</v>
      </c>
      <c r="AM23" s="24">
        <f>+SUM($E$22:AM22)</f>
        <v>1389.6583721722027</v>
      </c>
      <c r="AN23" s="24">
        <f>+SUM($E$22:AN22)</f>
        <v>1401.8241815195311</v>
      </c>
      <c r="AO23" s="24">
        <f>+SUM($E$22:AO22)</f>
        <v>1411.6691166104793</v>
      </c>
      <c r="AP23" s="24">
        <f>+SUM($E$22:AP22)</f>
        <v>1419.5146107036676</v>
      </c>
      <c r="AQ23" s="24">
        <f>+SUM($E$22:AQ22)</f>
        <v>1425.6428354260361</v>
      </c>
      <c r="AR23" s="24">
        <f>+SUM($E$22:AR22)</f>
        <v>1430.3011827781206</v>
      </c>
      <c r="AS23" s="24">
        <f>+SUM($E$22:AS22)</f>
        <v>1433.7062567055732</v>
      </c>
      <c r="AT23" s="24">
        <f>+SUM($E$22:AT22)</f>
        <v>1436.0474263653346</v>
      </c>
      <c r="AU23" s="24">
        <f>+SUM($E$22:AU22)</f>
        <v>1437.4899877901464</v>
      </c>
    </row>
  </sheetData>
  <pageMargins left="0.7" right="0.7" top="0.75" bottom="0.75" header="0.3" footer="0.3"/>
  <pageSetup scale="30" orientation="landscape"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C0FF-0070-41A2-88C7-A8F2B35ACA4B}">
  <sheetPr codeName="Sheet34"/>
  <dimension ref="C2:AU25"/>
  <sheetViews>
    <sheetView showGridLines="0" view="pageBreakPreview" zoomScaleNormal="100" zoomScaleSheetLayoutView="100" workbookViewId="0">
      <selection activeCell="G22" sqref="G22"/>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5" style="73" bestFit="1"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+SUM(E24:AU24)</f>
        <v>1028.5058612571968</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-365.49413874280322</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317</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318</v>
      </c>
      <c r="AL16" s="15"/>
      <c r="AM16" s="15"/>
      <c r="AN16" s="15"/>
      <c r="AO16" s="15"/>
      <c r="AP16" s="15"/>
      <c r="AQ16" s="15"/>
      <c r="AR16" s="15"/>
      <c r="AS16" s="15"/>
      <c r="AT16" s="15"/>
    </row>
    <row r="17" spans="3:47" x14ac:dyDescent="0.2">
      <c r="E17" s="1"/>
      <c r="F17" s="1"/>
      <c r="G17" s="1"/>
      <c r="H17" s="1"/>
      <c r="I17" s="1"/>
      <c r="J17" s="1"/>
      <c r="K17" s="1"/>
      <c r="L17" s="1"/>
      <c r="M17" s="1"/>
      <c r="N17" s="1"/>
      <c r="O17" s="1"/>
      <c r="P17" s="1"/>
    </row>
    <row r="18" spans="3:47"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row>
    <row r="19" spans="3:47" x14ac:dyDescent="0.2">
      <c r="C19" s="81" t="s">
        <v>308</v>
      </c>
      <c r="E19" s="77">
        <v>0</v>
      </c>
      <c r="F19" s="77">
        <f>1.076*726</f>
        <v>781.17600000000004</v>
      </c>
      <c r="G19" s="77">
        <f>1.076*1802</f>
        <v>1938.9520000000002</v>
      </c>
      <c r="H19" s="77">
        <f>1.076*3075</f>
        <v>3308.7000000000003</v>
      </c>
      <c r="I19" s="77">
        <f>1.076*1377</f>
        <v>1481.652</v>
      </c>
      <c r="J19" s="77">
        <f>1.076*37</f>
        <v>39.812000000000005</v>
      </c>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row>
    <row r="20" spans="3:47" x14ac:dyDescent="0.2">
      <c r="C20" s="81" t="s">
        <v>316</v>
      </c>
      <c r="E20" s="77">
        <v>0</v>
      </c>
      <c r="F20" s="77">
        <v>1</v>
      </c>
      <c r="G20" s="77">
        <v>6</v>
      </c>
      <c r="H20" s="77">
        <v>9</v>
      </c>
      <c r="I20" s="77">
        <v>12</v>
      </c>
      <c r="J20" s="77">
        <v>974</v>
      </c>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row>
    <row r="21" spans="3:47" x14ac:dyDescent="0.2">
      <c r="C21" s="11" t="s">
        <v>312</v>
      </c>
      <c r="E21" s="75">
        <f>E20-E19</f>
        <v>0</v>
      </c>
      <c r="F21" s="75">
        <f t="shared" ref="F21:H21" si="2">F20-F19</f>
        <v>-780.17600000000004</v>
      </c>
      <c r="G21" s="75">
        <f t="shared" si="2"/>
        <v>-1932.9520000000002</v>
      </c>
      <c r="H21" s="75">
        <f t="shared" si="2"/>
        <v>-3299.7000000000003</v>
      </c>
      <c r="I21" s="75">
        <f>I20-I19</f>
        <v>-1469.652</v>
      </c>
      <c r="J21" s="75">
        <f>J20-J19</f>
        <v>934.18799999999999</v>
      </c>
      <c r="K21" s="75">
        <v>1074</v>
      </c>
      <c r="L21" s="75">
        <v>993</v>
      </c>
      <c r="M21" s="75">
        <v>1003</v>
      </c>
      <c r="N21" s="10">
        <f>+M21-(($M$21-$R$21)/($R$18-$M$18))</f>
        <v>1016</v>
      </c>
      <c r="O21" s="10">
        <f>+N21-(($M$21-$R$21)/($R$18-$M$18))</f>
        <v>1029</v>
      </c>
      <c r="P21" s="10">
        <f>+O21-(($M$21-$R$21)/($R$18-$M$18))</f>
        <v>1042</v>
      </c>
      <c r="Q21" s="10">
        <f>+P21-(($M$21-$R$21)/($R$18-$M$18))</f>
        <v>1055</v>
      </c>
      <c r="R21" s="75">
        <v>1068</v>
      </c>
      <c r="S21" s="10">
        <f t="shared" ref="S21:AA21" si="3">+R21-(($R$21-$AB$21)/($AB$18-$R$18))</f>
        <v>1095.2</v>
      </c>
      <c r="T21" s="10">
        <f t="shared" si="3"/>
        <v>1122.4000000000001</v>
      </c>
      <c r="U21" s="10">
        <f t="shared" si="3"/>
        <v>1149.6000000000001</v>
      </c>
      <c r="V21" s="10">
        <f t="shared" si="3"/>
        <v>1176.8000000000002</v>
      </c>
      <c r="W21" s="10">
        <f t="shared" si="3"/>
        <v>1204.0000000000002</v>
      </c>
      <c r="X21" s="10">
        <f t="shared" si="3"/>
        <v>1231.2000000000003</v>
      </c>
      <c r="Y21" s="10">
        <f t="shared" si="3"/>
        <v>1258.4000000000003</v>
      </c>
      <c r="Z21" s="10">
        <f t="shared" si="3"/>
        <v>1285.6000000000004</v>
      </c>
      <c r="AA21" s="10">
        <f t="shared" si="3"/>
        <v>1312.8000000000004</v>
      </c>
      <c r="AB21" s="75">
        <v>1340</v>
      </c>
      <c r="AC21" s="10">
        <f t="shared" ref="AC21:AK21" si="4">+AB21-(($AB$21-$AL$21)/($AL$18-$AB$18))</f>
        <v>1247.7</v>
      </c>
      <c r="AD21" s="10">
        <f t="shared" si="4"/>
        <v>1155.4000000000001</v>
      </c>
      <c r="AE21" s="10">
        <f t="shared" si="4"/>
        <v>1063.1000000000001</v>
      </c>
      <c r="AF21" s="10">
        <f t="shared" si="4"/>
        <v>970.80000000000018</v>
      </c>
      <c r="AG21" s="10">
        <f t="shared" si="4"/>
        <v>878.50000000000023</v>
      </c>
      <c r="AH21" s="10">
        <f t="shared" si="4"/>
        <v>786.20000000000027</v>
      </c>
      <c r="AI21" s="10">
        <f t="shared" si="4"/>
        <v>693.90000000000032</v>
      </c>
      <c r="AJ21" s="10">
        <f t="shared" si="4"/>
        <v>601.60000000000036</v>
      </c>
      <c r="AK21" s="10">
        <f t="shared" si="4"/>
        <v>509.30000000000035</v>
      </c>
      <c r="AL21" s="75">
        <v>417</v>
      </c>
      <c r="AM21" s="10">
        <f t="shared" ref="AM21:AT21" si="5">+AL21-(($AL$21-$AU$21)/($AU$18-$AK$18))</f>
        <v>383.2</v>
      </c>
      <c r="AN21" s="10">
        <f t="shared" si="5"/>
        <v>349.4</v>
      </c>
      <c r="AO21" s="10">
        <f t="shared" si="5"/>
        <v>315.59999999999997</v>
      </c>
      <c r="AP21" s="10">
        <f t="shared" si="5"/>
        <v>281.79999999999995</v>
      </c>
      <c r="AQ21" s="10">
        <f t="shared" si="5"/>
        <v>247.99999999999994</v>
      </c>
      <c r="AR21" s="10">
        <f t="shared" si="5"/>
        <v>214.19999999999993</v>
      </c>
      <c r="AS21" s="10">
        <f t="shared" si="5"/>
        <v>180.39999999999992</v>
      </c>
      <c r="AT21" s="10">
        <f t="shared" si="5"/>
        <v>146.59999999999991</v>
      </c>
      <c r="AU21" s="75">
        <v>79</v>
      </c>
    </row>
    <row r="22" spans="3:47"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row>
    <row r="23" spans="3:47" s="74" customFormat="1" x14ac:dyDescent="0.2">
      <c r="C23" s="12" t="str">
        <f>+CONCATENATE("Facteur d'escompte @ ",E10*100,"%")</f>
        <v>Facteur d'escompte @ 10%</v>
      </c>
      <c r="E23" s="6">
        <f t="shared" ref="E23:AU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1.8260271200148705E-2</v>
      </c>
    </row>
    <row r="24" spans="3:47" x14ac:dyDescent="0.2">
      <c r="C24" s="20" t="s">
        <v>303</v>
      </c>
      <c r="D24" s="21"/>
      <c r="E24" s="22">
        <f>+SUM(E21, E22)*E23</f>
        <v>0</v>
      </c>
      <c r="F24" s="22">
        <f t="shared" ref="F24:AU24" si="7">+SUM(F21, F22)*F23</f>
        <v>-709.25090909090909</v>
      </c>
      <c r="G24" s="22">
        <f t="shared" si="7"/>
        <v>-1597.4809917355371</v>
      </c>
      <c r="H24" s="22">
        <f t="shared" si="7"/>
        <v>-2479.1134485349357</v>
      </c>
      <c r="I24" s="22">
        <f t="shared" si="7"/>
        <v>-1003.7920907041866</v>
      </c>
      <c r="J24" s="22">
        <f t="shared" si="7"/>
        <v>580.05724894598586</v>
      </c>
      <c r="K24" s="22">
        <f t="shared" si="7"/>
        <v>606.24500087775675</v>
      </c>
      <c r="L24" s="22">
        <f t="shared" si="7"/>
        <v>509.56601140309152</v>
      </c>
      <c r="M24" s="22">
        <f t="shared" si="7"/>
        <v>467.90690235036237</v>
      </c>
      <c r="N24" s="22">
        <f t="shared" si="7"/>
        <v>430.88318026644441</v>
      </c>
      <c r="O24" s="22">
        <f t="shared" si="7"/>
        <v>396.72404482298788</v>
      </c>
      <c r="P24" s="22">
        <f t="shared" si="7"/>
        <v>365.21464325961068</v>
      </c>
      <c r="Q24" s="22">
        <f t="shared" si="7"/>
        <v>336.15551268442618</v>
      </c>
      <c r="R24" s="22">
        <f t="shared" si="7"/>
        <v>309.36155755878258</v>
      </c>
      <c r="S24" s="22">
        <f t="shared" si="7"/>
        <v>288.40038971601854</v>
      </c>
      <c r="T24" s="22">
        <f t="shared" si="7"/>
        <v>268.69363621194901</v>
      </c>
      <c r="U24" s="22">
        <f t="shared" si="7"/>
        <v>250.18645450435477</v>
      </c>
      <c r="V24" s="22">
        <f t="shared" si="7"/>
        <v>232.82360636167894</v>
      </c>
      <c r="W24" s="22">
        <f t="shared" si="7"/>
        <v>216.54998305069327</v>
      </c>
      <c r="X24" s="22">
        <f t="shared" si="7"/>
        <v>201.31103830565803</v>
      </c>
      <c r="Y24" s="22">
        <f t="shared" si="7"/>
        <v>187.05314150558223</v>
      </c>
      <c r="Z24" s="22">
        <f t="shared" si="7"/>
        <v>173.72386198894446</v>
      </c>
      <c r="AA24" s="22">
        <f t="shared" si="7"/>
        <v>161.27219410751701</v>
      </c>
      <c r="AB24" s="22">
        <f t="shared" si="7"/>
        <v>149.64873144429168</v>
      </c>
      <c r="AC24" s="22">
        <f t="shared" si="7"/>
        <v>126.67348861807514</v>
      </c>
      <c r="AD24" s="22">
        <f t="shared" si="7"/>
        <v>106.63879629377981</v>
      </c>
      <c r="AE24" s="22">
        <f t="shared" si="7"/>
        <v>89.199886965488005</v>
      </c>
      <c r="AF24" s="22">
        <f t="shared" si="7"/>
        <v>74.050376058094031</v>
      </c>
      <c r="AG24" s="22">
        <f t="shared" si="7"/>
        <v>60.918132530842051</v>
      </c>
      <c r="AH24" s="22">
        <f t="shared" si="7"/>
        <v>49.561583065916103</v>
      </c>
      <c r="AI24" s="22">
        <f t="shared" si="7"/>
        <v>39.766405135680465</v>
      </c>
      <c r="AJ24" s="22">
        <f t="shared" si="7"/>
        <v>31.342568787256969</v>
      </c>
      <c r="AK24" s="22">
        <f t="shared" si="7"/>
        <v>24.121691071309801</v>
      </c>
      <c r="AL24" s="22">
        <f t="shared" si="7"/>
        <v>17.954670718697997</v>
      </c>
      <c r="AM24" s="22">
        <f t="shared" si="7"/>
        <v>14.999410986276594</v>
      </c>
      <c r="AN24" s="22">
        <f t="shared" si="7"/>
        <v>12.433085496785537</v>
      </c>
      <c r="AO24" s="22">
        <f t="shared" si="7"/>
        <v>10.209402567480659</v>
      </c>
      <c r="AP24" s="22">
        <f t="shared" si="7"/>
        <v>8.2872728526214114</v>
      </c>
      <c r="AQ24" s="22">
        <f t="shared" si="7"/>
        <v>6.6302460399061536</v>
      </c>
      <c r="AR24" s="22">
        <f t="shared" si="7"/>
        <v>5.2060069712166337</v>
      </c>
      <c r="AS24" s="22">
        <f t="shared" si="7"/>
        <v>3.9859250386532588</v>
      </c>
      <c r="AT24" s="22">
        <f t="shared" si="7"/>
        <v>2.9446513337359783</v>
      </c>
      <c r="AU24" s="22">
        <f t="shared" si="7"/>
        <v>1.4425614248117478</v>
      </c>
    </row>
    <row r="25" spans="3:47" s="74" customFormat="1" x14ac:dyDescent="0.2">
      <c r="C25" s="12" t="s">
        <v>313</v>
      </c>
      <c r="E25" s="24">
        <f>+SUM($E$24:E24)</f>
        <v>0</v>
      </c>
      <c r="F25" s="24">
        <f>+SUM($E$24:F24)</f>
        <v>-709.25090909090909</v>
      </c>
      <c r="G25" s="24">
        <f>+SUM($E$24:G24)</f>
        <v>-2306.7319008264462</v>
      </c>
      <c r="H25" s="24">
        <f>+SUM($E$24:H24)</f>
        <v>-4785.8453493613815</v>
      </c>
      <c r="I25" s="24">
        <f>+SUM($E$24:I24)</f>
        <v>-5789.6374400655677</v>
      </c>
      <c r="J25" s="24">
        <f>+SUM($E$24:J24)</f>
        <v>-5209.5801911195822</v>
      </c>
      <c r="K25" s="24">
        <f>+SUM($E$24:K24)</f>
        <v>-4603.3351902418253</v>
      </c>
      <c r="L25" s="24">
        <f>+SUM($E$24:L24)</f>
        <v>-4093.7691788387338</v>
      </c>
      <c r="M25" s="24">
        <f>+SUM($E$24:M24)</f>
        <v>-3625.8622764883712</v>
      </c>
      <c r="N25" s="24">
        <f>+SUM($E$24:N24)</f>
        <v>-3194.9790962219267</v>
      </c>
      <c r="O25" s="24">
        <f>+SUM($E$24:O24)</f>
        <v>-2798.255051398939</v>
      </c>
      <c r="P25" s="24">
        <f>+SUM($E$24:P24)</f>
        <v>-2433.0404081393285</v>
      </c>
      <c r="Q25" s="24">
        <f>+SUM($E$24:Q24)</f>
        <v>-2096.8848954549021</v>
      </c>
      <c r="R25" s="24">
        <f>+SUM($E$24:R24)</f>
        <v>-1787.5233378961195</v>
      </c>
      <c r="S25" s="24">
        <f>+SUM($E$24:S24)</f>
        <v>-1499.122948180101</v>
      </c>
      <c r="T25" s="24">
        <f>+SUM($E$24:T24)</f>
        <v>-1230.429311968152</v>
      </c>
      <c r="U25" s="24">
        <f>+SUM($E$24:U24)</f>
        <v>-980.24285746379724</v>
      </c>
      <c r="V25" s="24">
        <f>+SUM($E$24:V24)</f>
        <v>-747.41925110211832</v>
      </c>
      <c r="W25" s="24">
        <f>+SUM($E$24:W24)</f>
        <v>-530.86926805142502</v>
      </c>
      <c r="X25" s="24">
        <f>+SUM($E$24:X24)</f>
        <v>-329.55822974576699</v>
      </c>
      <c r="Y25" s="24">
        <f>+SUM($E$24:Y24)</f>
        <v>-142.50508824018476</v>
      </c>
      <c r="Z25" s="24">
        <f>+SUM($E$24:Z24)</f>
        <v>31.218773748759702</v>
      </c>
      <c r="AA25" s="24">
        <f>+SUM($E$24:AA24)</f>
        <v>192.49096785627671</v>
      </c>
      <c r="AB25" s="24">
        <f>+SUM($E$24:AB24)</f>
        <v>342.1396993005684</v>
      </c>
      <c r="AC25" s="24">
        <f>+SUM($E$24:AC24)</f>
        <v>468.81318791864351</v>
      </c>
      <c r="AD25" s="24">
        <f>+SUM($E$24:AD24)</f>
        <v>575.45198421242333</v>
      </c>
      <c r="AE25" s="24">
        <f>+SUM($E$24:AE24)</f>
        <v>664.65187117791129</v>
      </c>
      <c r="AF25" s="24">
        <f>+SUM($E$24:AF24)</f>
        <v>738.70224723600529</v>
      </c>
      <c r="AG25" s="24">
        <f>+SUM($E$24:AG24)</f>
        <v>799.62037976684735</v>
      </c>
      <c r="AH25" s="24">
        <f>+SUM($E$24:AH24)</f>
        <v>849.18196283276347</v>
      </c>
      <c r="AI25" s="24">
        <f>+SUM($E$24:AI24)</f>
        <v>888.9483679684439</v>
      </c>
      <c r="AJ25" s="24">
        <f>+SUM($E$24:AJ24)</f>
        <v>920.29093675570084</v>
      </c>
      <c r="AK25" s="24">
        <f>+SUM($E$24:AK24)</f>
        <v>944.41262782701062</v>
      </c>
      <c r="AL25" s="24">
        <f>+SUM($E$24:AL24)</f>
        <v>962.36729854570865</v>
      </c>
      <c r="AM25" s="24">
        <f>+SUM($E$24:AM24)</f>
        <v>977.36670953198529</v>
      </c>
      <c r="AN25" s="24">
        <f>+SUM($E$24:AN24)</f>
        <v>989.79979502877086</v>
      </c>
      <c r="AO25" s="24">
        <f>+SUM($E$24:AO24)</f>
        <v>1000.0091975962515</v>
      </c>
      <c r="AP25" s="24">
        <f>+SUM($E$24:AP24)</f>
        <v>1008.2964704488729</v>
      </c>
      <c r="AQ25" s="24">
        <f>+SUM($E$24:AQ24)</f>
        <v>1014.9267164887791</v>
      </c>
      <c r="AR25" s="24">
        <f>+SUM($E$24:AR24)</f>
        <v>1020.1327234599958</v>
      </c>
      <c r="AS25" s="24">
        <f>+SUM($E$24:AS24)</f>
        <v>1024.118648498649</v>
      </c>
      <c r="AT25" s="24">
        <f>+SUM($E$24:AT24)</f>
        <v>1027.0632998323849</v>
      </c>
      <c r="AU25" s="24">
        <f>+SUM($E$24:AU24)</f>
        <v>1028.5058612571968</v>
      </c>
    </row>
  </sheetData>
  <pageMargins left="0.7" right="0.7" top="0.75" bottom="0.75" header="0.3" footer="0.3"/>
  <pageSetup scale="30" orientation="landscape"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7A15-54C2-4D52-A5E4-BD52B96D97E6}">
  <sheetPr codeName="Sheet35"/>
  <dimension ref="C2:AV25"/>
  <sheetViews>
    <sheetView showGridLines="0" view="pageBreakPreview" zoomScaleNormal="100" zoomScaleSheetLayoutView="100" workbookViewId="0">
      <selection activeCell="E12" sqref="E12"/>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5.7109375" style="73" bestFit="1"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+SUM(E24:AV24)</f>
        <v>1681.2293755822718</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287.22937558227181</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8" x14ac:dyDescent="0.2">
      <c r="E17" s="1"/>
      <c r="F17" s="1"/>
      <c r="G17" s="1"/>
      <c r="H17" s="1"/>
      <c r="I17" s="1"/>
      <c r="J17" s="1"/>
      <c r="K17" s="1"/>
      <c r="L17" s="1"/>
      <c r="M17" s="1"/>
      <c r="N17" s="1"/>
      <c r="O17" s="1"/>
      <c r="P17" s="1"/>
    </row>
    <row r="18" spans="3:48"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c r="AV18" s="3">
        <v>2061</v>
      </c>
    </row>
    <row r="19" spans="3:48" x14ac:dyDescent="0.2">
      <c r="C19" s="81" t="s">
        <v>308</v>
      </c>
      <c r="E19" s="77">
        <v>0</v>
      </c>
      <c r="F19" s="77">
        <v>0</v>
      </c>
      <c r="G19" s="77">
        <f>0.924*726</f>
        <v>670.82400000000007</v>
      </c>
      <c r="H19" s="77">
        <f>0.924*1802</f>
        <v>1665.048</v>
      </c>
      <c r="I19" s="77">
        <f>0.924*3075</f>
        <v>2841.3</v>
      </c>
      <c r="J19" s="77">
        <f>0.924*1377</f>
        <v>1272.348</v>
      </c>
      <c r="K19" s="77">
        <f>0.924*37</f>
        <v>34.188000000000002</v>
      </c>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row>
    <row r="20" spans="3:48" x14ac:dyDescent="0.2">
      <c r="C20" s="81" t="s">
        <v>315</v>
      </c>
      <c r="E20" s="77">
        <v>0</v>
      </c>
      <c r="F20" s="77">
        <v>0</v>
      </c>
      <c r="G20" s="77">
        <v>1</v>
      </c>
      <c r="H20" s="77">
        <v>6</v>
      </c>
      <c r="I20" s="77">
        <v>9</v>
      </c>
      <c r="J20" s="77">
        <v>12</v>
      </c>
      <c r="K20" s="77">
        <v>974</v>
      </c>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row>
    <row r="21" spans="3:48" x14ac:dyDescent="0.2">
      <c r="C21" s="11" t="s">
        <v>312</v>
      </c>
      <c r="E21" s="75">
        <f>E20-E19</f>
        <v>0</v>
      </c>
      <c r="F21" s="75">
        <f t="shared" ref="F21:H21" si="2">F20-F19</f>
        <v>0</v>
      </c>
      <c r="G21" s="75">
        <f t="shared" si="2"/>
        <v>-669.82400000000007</v>
      </c>
      <c r="H21" s="75">
        <f t="shared" si="2"/>
        <v>-1659.048</v>
      </c>
      <c r="I21" s="75">
        <f>I20-I19</f>
        <v>-2832.3</v>
      </c>
      <c r="J21" s="75">
        <f>J20-J19</f>
        <v>-1260.348</v>
      </c>
      <c r="K21" s="75">
        <f>K20-K19</f>
        <v>939.81200000000001</v>
      </c>
      <c r="L21" s="75">
        <v>1074</v>
      </c>
      <c r="M21" s="75">
        <v>993</v>
      </c>
      <c r="N21" s="75">
        <v>1003</v>
      </c>
      <c r="O21" s="10">
        <f>+N21-(($N$21-$S$21)/($S$18-$N$18))</f>
        <v>1016</v>
      </c>
      <c r="P21" s="10">
        <f>+O21-(($N$21-$S$21)/($S$18-$N$18))</f>
        <v>1029</v>
      </c>
      <c r="Q21" s="10">
        <f>+P21-(($N$21-$S$21)/($S$18-$N$18))</f>
        <v>1042</v>
      </c>
      <c r="R21" s="10">
        <f>+Q21-(($N$21-$S$21)/($S$18-$N$18))</f>
        <v>1055</v>
      </c>
      <c r="S21" s="75">
        <v>1068</v>
      </c>
      <c r="T21" s="10">
        <f t="shared" ref="T21:AB21" si="3">+S21-(($S$21-$AC$21)/($AC$18-$S$18))</f>
        <v>1095.2</v>
      </c>
      <c r="U21" s="10">
        <f t="shared" si="3"/>
        <v>1122.4000000000001</v>
      </c>
      <c r="V21" s="10">
        <f t="shared" si="3"/>
        <v>1149.6000000000001</v>
      </c>
      <c r="W21" s="10">
        <f t="shared" si="3"/>
        <v>1176.8000000000002</v>
      </c>
      <c r="X21" s="10">
        <f t="shared" si="3"/>
        <v>1204.0000000000002</v>
      </c>
      <c r="Y21" s="10">
        <f t="shared" si="3"/>
        <v>1231.2000000000003</v>
      </c>
      <c r="Z21" s="10">
        <f t="shared" si="3"/>
        <v>1258.4000000000003</v>
      </c>
      <c r="AA21" s="10">
        <f t="shared" si="3"/>
        <v>1285.6000000000004</v>
      </c>
      <c r="AB21" s="10">
        <f t="shared" si="3"/>
        <v>1312.8000000000004</v>
      </c>
      <c r="AC21" s="75">
        <v>1340</v>
      </c>
      <c r="AD21" s="10">
        <f t="shared" ref="AD21:AL21" si="4">+AC21-(($AC$21-$AM$21)/($AM$18-$AC$18))</f>
        <v>1247.7</v>
      </c>
      <c r="AE21" s="10">
        <f t="shared" si="4"/>
        <v>1155.4000000000001</v>
      </c>
      <c r="AF21" s="10">
        <f t="shared" si="4"/>
        <v>1063.1000000000001</v>
      </c>
      <c r="AG21" s="10">
        <f t="shared" si="4"/>
        <v>970.80000000000018</v>
      </c>
      <c r="AH21" s="10">
        <f t="shared" si="4"/>
        <v>878.50000000000023</v>
      </c>
      <c r="AI21" s="10">
        <f t="shared" si="4"/>
        <v>786.20000000000027</v>
      </c>
      <c r="AJ21" s="10">
        <f t="shared" si="4"/>
        <v>693.90000000000032</v>
      </c>
      <c r="AK21" s="10">
        <f t="shared" si="4"/>
        <v>601.60000000000036</v>
      </c>
      <c r="AL21" s="10">
        <f t="shared" si="4"/>
        <v>509.30000000000035</v>
      </c>
      <c r="AM21" s="75">
        <v>417</v>
      </c>
      <c r="AN21" s="10">
        <f t="shared" ref="AN21:AU21" si="5">+AM21-(($AM$21-$AV$21)/($AV$18-$AM$18))</f>
        <v>379.44444444444446</v>
      </c>
      <c r="AO21" s="10">
        <f t="shared" si="5"/>
        <v>341.88888888888891</v>
      </c>
      <c r="AP21" s="10">
        <f t="shared" si="5"/>
        <v>304.33333333333337</v>
      </c>
      <c r="AQ21" s="10">
        <f t="shared" si="5"/>
        <v>266.77777777777783</v>
      </c>
      <c r="AR21" s="10">
        <f t="shared" si="5"/>
        <v>229.22222222222229</v>
      </c>
      <c r="AS21" s="10">
        <f t="shared" si="5"/>
        <v>191.66666666666674</v>
      </c>
      <c r="AT21" s="10">
        <f t="shared" si="5"/>
        <v>154.1111111111112</v>
      </c>
      <c r="AU21" s="10">
        <f t="shared" si="5"/>
        <v>116.55555555555564</v>
      </c>
      <c r="AV21" s="75">
        <v>79</v>
      </c>
    </row>
    <row r="22" spans="3:48"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c r="AV22" s="75">
        <v>0</v>
      </c>
    </row>
    <row r="23" spans="3:48" s="74" customFormat="1" x14ac:dyDescent="0.2">
      <c r="C23" s="12" t="str">
        <f>+CONCATENATE("Facteur d'escompte @ ",E10*100,"%")</f>
        <v>Facteur d'escompte @ 10%</v>
      </c>
      <c r="E23" s="6">
        <f t="shared" ref="E23:AV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1.8260271200148705E-2</v>
      </c>
      <c r="AV23" s="6">
        <f t="shared" si="6"/>
        <v>1.6600246545589729E-2</v>
      </c>
    </row>
    <row r="24" spans="3:48" x14ac:dyDescent="0.2">
      <c r="C24" s="20" t="s">
        <v>303</v>
      </c>
      <c r="D24" s="21"/>
      <c r="E24" s="22">
        <f>(E22+E21)*E23</f>
        <v>0</v>
      </c>
      <c r="F24" s="22">
        <f>(F22+F21)*F23</f>
        <v>0</v>
      </c>
      <c r="G24" s="22">
        <f t="shared" ref="G24:AV24" si="7">(G22+G21)*G23</f>
        <v>-553.57355371900826</v>
      </c>
      <c r="H24" s="22">
        <f t="shared" si="7"/>
        <v>-1246.4673178061605</v>
      </c>
      <c r="I24" s="22">
        <f t="shared" si="7"/>
        <v>-1934.4990096304894</v>
      </c>
      <c r="J24" s="22">
        <f t="shared" si="7"/>
        <v>-782.5769476749598</v>
      </c>
      <c r="K24" s="22">
        <f t="shared" si="7"/>
        <v>530.49937315170052</v>
      </c>
      <c r="L24" s="22">
        <f t="shared" si="7"/>
        <v>551.1318189797787</v>
      </c>
      <c r="M24" s="22">
        <f t="shared" si="7"/>
        <v>463.241828548265</v>
      </c>
      <c r="N24" s="22">
        <f t="shared" si="7"/>
        <v>425.36991122760213</v>
      </c>
      <c r="O24" s="22">
        <f t="shared" si="7"/>
        <v>391.71198206040395</v>
      </c>
      <c r="P24" s="22">
        <f t="shared" si="7"/>
        <v>360.65822256635255</v>
      </c>
      <c r="Q24" s="22">
        <f t="shared" si="7"/>
        <v>332.01331205419154</v>
      </c>
      <c r="R24" s="22">
        <f t="shared" si="7"/>
        <v>305.5959206222056</v>
      </c>
      <c r="S24" s="22">
        <f t="shared" si="7"/>
        <v>281.23777959889316</v>
      </c>
      <c r="T24" s="22">
        <f t="shared" si="7"/>
        <v>262.18217246910774</v>
      </c>
      <c r="U24" s="22">
        <f t="shared" si="7"/>
        <v>244.26694201086272</v>
      </c>
      <c r="V24" s="22">
        <f t="shared" si="7"/>
        <v>227.44223136759524</v>
      </c>
      <c r="W24" s="22">
        <f t="shared" si="7"/>
        <v>211.65782396516263</v>
      </c>
      <c r="X24" s="22">
        <f t="shared" si="7"/>
        <v>196.86362095517563</v>
      </c>
      <c r="Y24" s="22">
        <f t="shared" si="7"/>
        <v>183.0100348233255</v>
      </c>
      <c r="Z24" s="22">
        <f t="shared" si="7"/>
        <v>170.04831045962018</v>
      </c>
      <c r="AA24" s="22">
        <f t="shared" si="7"/>
        <v>157.93078362631312</v>
      </c>
      <c r="AB24" s="22">
        <f t="shared" si="7"/>
        <v>146.61108555228819</v>
      </c>
      <c r="AC24" s="22">
        <f t="shared" si="7"/>
        <v>136.04430131299245</v>
      </c>
      <c r="AD24" s="22">
        <f t="shared" si="7"/>
        <v>115.15771692552282</v>
      </c>
      <c r="AE24" s="22">
        <f t="shared" si="7"/>
        <v>96.944360267072554</v>
      </c>
      <c r="AF24" s="22">
        <f t="shared" si="7"/>
        <v>81.090806332261806</v>
      </c>
      <c r="AG24" s="22">
        <f t="shared" si="7"/>
        <v>67.318523689176388</v>
      </c>
      <c r="AH24" s="22">
        <f t="shared" si="7"/>
        <v>55.380120482583678</v>
      </c>
      <c r="AI24" s="22">
        <f t="shared" si="7"/>
        <v>45.055984605378271</v>
      </c>
      <c r="AJ24" s="22">
        <f t="shared" si="7"/>
        <v>36.151277396073155</v>
      </c>
      <c r="AK24" s="22">
        <f t="shared" si="7"/>
        <v>28.493244352051789</v>
      </c>
      <c r="AL24" s="22">
        <f t="shared" si="7"/>
        <v>21.92881006482709</v>
      </c>
      <c r="AM24" s="22">
        <f t="shared" si="7"/>
        <v>16.322427926089091</v>
      </c>
      <c r="AN24" s="22">
        <f t="shared" si="7"/>
        <v>13.50219009461382</v>
      </c>
      <c r="AO24" s="22">
        <f t="shared" si="7"/>
        <v>11.05982667938952</v>
      </c>
      <c r="AP24" s="22">
        <f t="shared" si="7"/>
        <v>8.9499409917711734</v>
      </c>
      <c r="AQ24" s="22">
        <f t="shared" si="7"/>
        <v>7.1322673574438529</v>
      </c>
      <c r="AR24" s="22">
        <f t="shared" si="7"/>
        <v>5.5711133839713263</v>
      </c>
      <c r="AS24" s="22">
        <f t="shared" si="7"/>
        <v>4.2348612291678229</v>
      </c>
      <c r="AT24" s="22">
        <f t="shared" si="7"/>
        <v>3.0955217522296548</v>
      </c>
      <c r="AU24" s="22">
        <f t="shared" si="7"/>
        <v>2.1283360543284449</v>
      </c>
      <c r="AV24" s="22">
        <f t="shared" si="7"/>
        <v>1.3114194771015886</v>
      </c>
    </row>
    <row r="25" spans="3:48" s="74" customFormat="1" x14ac:dyDescent="0.2">
      <c r="C25" s="12" t="s">
        <v>313</v>
      </c>
      <c r="E25" s="24">
        <f>+SUM($E$24:E24)</f>
        <v>0</v>
      </c>
      <c r="F25" s="24">
        <f>+SUM($E$24:F24)</f>
        <v>0</v>
      </c>
      <c r="G25" s="24">
        <f>+SUM($E$24:G24)</f>
        <v>-553.57355371900826</v>
      </c>
      <c r="H25" s="24">
        <f>+SUM($E$24:H24)</f>
        <v>-1800.0408715251688</v>
      </c>
      <c r="I25" s="24">
        <f>+SUM($E$24:I24)</f>
        <v>-3734.5398811556579</v>
      </c>
      <c r="J25" s="24">
        <f>+SUM($E$24:J24)</f>
        <v>-4517.116828830618</v>
      </c>
      <c r="K25" s="24">
        <f>+SUM($E$24:K24)</f>
        <v>-3986.6174556789174</v>
      </c>
      <c r="L25" s="24">
        <f>+SUM($E$24:L24)</f>
        <v>-3435.4856366991389</v>
      </c>
      <c r="M25" s="24">
        <f>+SUM($E$24:M24)</f>
        <v>-2972.243808150874</v>
      </c>
      <c r="N25" s="24">
        <f>+SUM($E$24:N24)</f>
        <v>-2546.8738969232718</v>
      </c>
      <c r="O25" s="24">
        <f>+SUM($E$24:O24)</f>
        <v>-2155.1619148628679</v>
      </c>
      <c r="P25" s="24">
        <f>+SUM($E$24:P24)</f>
        <v>-1794.5036922965153</v>
      </c>
      <c r="Q25" s="24">
        <f>+SUM($E$24:Q24)</f>
        <v>-1462.4903802423237</v>
      </c>
      <c r="R25" s="24">
        <f>+SUM($E$24:R24)</f>
        <v>-1156.8944596201181</v>
      </c>
      <c r="S25" s="24">
        <f>+SUM($E$24:S24)</f>
        <v>-875.65668002122493</v>
      </c>
      <c r="T25" s="24">
        <f>+SUM($E$24:T24)</f>
        <v>-613.47450755211719</v>
      </c>
      <c r="U25" s="24">
        <f>+SUM($E$24:U24)</f>
        <v>-369.20756554125444</v>
      </c>
      <c r="V25" s="24">
        <f>+SUM($E$24:V24)</f>
        <v>-141.7653341736592</v>
      </c>
      <c r="W25" s="24">
        <f>+SUM($E$24:W24)</f>
        <v>69.892489791503436</v>
      </c>
      <c r="X25" s="24">
        <f>+SUM($E$24:X24)</f>
        <v>266.75611074667904</v>
      </c>
      <c r="Y25" s="24">
        <f>+SUM($E$24:Y24)</f>
        <v>449.76614557000454</v>
      </c>
      <c r="Z25" s="24">
        <f>+SUM($E$24:Z24)</f>
        <v>619.81445602962469</v>
      </c>
      <c r="AA25" s="24">
        <f>+SUM($E$24:AA24)</f>
        <v>777.74523965593778</v>
      </c>
      <c r="AB25" s="24">
        <f>+SUM($E$24:AB24)</f>
        <v>924.35632520822594</v>
      </c>
      <c r="AC25" s="24">
        <f>+SUM($E$24:AC24)</f>
        <v>1060.4006265212183</v>
      </c>
      <c r="AD25" s="24">
        <f>+SUM($E$24:AD24)</f>
        <v>1175.5583434467412</v>
      </c>
      <c r="AE25" s="24">
        <f>+SUM($E$24:AE24)</f>
        <v>1272.5027037138138</v>
      </c>
      <c r="AF25" s="24">
        <f>+SUM($E$24:AF24)</f>
        <v>1353.5935100460756</v>
      </c>
      <c r="AG25" s="24">
        <f>+SUM($E$24:AG24)</f>
        <v>1420.912033735252</v>
      </c>
      <c r="AH25" s="24">
        <f>+SUM($E$24:AH24)</f>
        <v>1476.2921542178356</v>
      </c>
      <c r="AI25" s="24">
        <f>+SUM($E$24:AI24)</f>
        <v>1521.3481388232137</v>
      </c>
      <c r="AJ25" s="24">
        <f>+SUM($E$24:AJ24)</f>
        <v>1557.4994162192868</v>
      </c>
      <c r="AK25" s="24">
        <f>+SUM($E$24:AK24)</f>
        <v>1585.9926605713385</v>
      </c>
      <c r="AL25" s="24">
        <f>+SUM($E$24:AL24)</f>
        <v>1607.9214706361656</v>
      </c>
      <c r="AM25" s="24">
        <f>+SUM($E$24:AM24)</f>
        <v>1624.2438985622548</v>
      </c>
      <c r="AN25" s="24">
        <f>+SUM($E$24:AN24)</f>
        <v>1637.7460886568686</v>
      </c>
      <c r="AO25" s="24">
        <f>+SUM($E$24:AO24)</f>
        <v>1648.8059153362581</v>
      </c>
      <c r="AP25" s="24">
        <f>+SUM($E$24:AP24)</f>
        <v>1657.7558563280293</v>
      </c>
      <c r="AQ25" s="24">
        <f>+SUM($E$24:AQ24)</f>
        <v>1664.8881236854731</v>
      </c>
      <c r="AR25" s="24">
        <f>+SUM($E$24:AR24)</f>
        <v>1670.4592370694445</v>
      </c>
      <c r="AS25" s="24">
        <f>+SUM($E$24:AS24)</f>
        <v>1674.6940982986123</v>
      </c>
      <c r="AT25" s="24">
        <f>+SUM($E$24:AT24)</f>
        <v>1677.7896200508419</v>
      </c>
      <c r="AU25" s="24">
        <f>+SUM($E$24:AU24)</f>
        <v>1679.9179561051703</v>
      </c>
      <c r="AV25" s="24">
        <f>+SUM($E$24:AV24)</f>
        <v>1681.2293755822718</v>
      </c>
    </row>
  </sheetData>
  <pageMargins left="0.7" right="0.7" top="0.75" bottom="0.75" header="0.3" footer="0.3"/>
  <pageSetup scale="30" orientation="landscape"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8DD5-403D-47CA-9CBD-AD42F109079D}">
  <sheetPr codeName="Sheet37"/>
  <dimension ref="C2:AV23"/>
  <sheetViews>
    <sheetView showGridLines="0" view="pageBreakPreview" zoomScaleNormal="100" zoomScaleSheetLayoutView="100" workbookViewId="0">
      <selection activeCell="E20" sqref="E20"/>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6.7109375" style="73" bestFit="1"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464</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+SUM(E22:AV22)</f>
        <v>1306.8090798092221</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-87.190920190777888</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8" x14ac:dyDescent="0.2">
      <c r="E17" s="1"/>
      <c r="F17" s="1"/>
      <c r="G17" s="1"/>
      <c r="H17" s="1"/>
      <c r="I17" s="1"/>
      <c r="J17" s="1"/>
      <c r="K17" s="1"/>
      <c r="L17" s="1"/>
      <c r="M17" s="1"/>
      <c r="N17" s="1"/>
      <c r="O17" s="1"/>
      <c r="P17" s="1"/>
    </row>
    <row r="18" spans="3:48"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2060</v>
      </c>
      <c r="AV18" s="3">
        <v>2061</v>
      </c>
    </row>
    <row r="19" spans="3:48" x14ac:dyDescent="0.2">
      <c r="C19" s="11" t="s">
        <v>312</v>
      </c>
      <c r="E19" s="75">
        <v>0</v>
      </c>
      <c r="F19" s="75">
        <v>0</v>
      </c>
      <c r="G19" s="75">
        <v>-724</v>
      </c>
      <c r="H19" s="75">
        <v>-1796</v>
      </c>
      <c r="I19" s="75">
        <v>-3066</v>
      </c>
      <c r="J19" s="75">
        <v>-1365</v>
      </c>
      <c r="K19" s="75">
        <v>936</v>
      </c>
      <c r="L19" s="75">
        <v>1074</v>
      </c>
      <c r="M19" s="75">
        <v>993</v>
      </c>
      <c r="N19" s="75">
        <v>1003</v>
      </c>
      <c r="O19" s="10">
        <v>1016</v>
      </c>
      <c r="P19" s="10">
        <v>1029</v>
      </c>
      <c r="Q19" s="10">
        <v>1042</v>
      </c>
      <c r="R19" s="10">
        <v>1055</v>
      </c>
      <c r="S19" s="75">
        <v>1068</v>
      </c>
      <c r="T19" s="10">
        <v>1095.2</v>
      </c>
      <c r="U19" s="10">
        <v>1122.4000000000001</v>
      </c>
      <c r="V19" s="10">
        <v>1149.6000000000001</v>
      </c>
      <c r="W19" s="10">
        <v>1176.8000000000002</v>
      </c>
      <c r="X19" s="10">
        <v>1204.0000000000002</v>
      </c>
      <c r="Y19" s="10">
        <v>1231.2000000000003</v>
      </c>
      <c r="Z19" s="10">
        <v>1258.4000000000003</v>
      </c>
      <c r="AA19" s="10">
        <v>1285.6000000000004</v>
      </c>
      <c r="AB19" s="10">
        <v>1312.8000000000004</v>
      </c>
      <c r="AC19" s="75">
        <v>1340</v>
      </c>
      <c r="AD19" s="10">
        <v>1247.7</v>
      </c>
      <c r="AE19" s="10">
        <v>1155.4000000000001</v>
      </c>
      <c r="AF19" s="10">
        <v>1063.1000000000001</v>
      </c>
      <c r="AG19" s="10">
        <v>970.80000000000018</v>
      </c>
      <c r="AH19" s="10">
        <v>878.50000000000023</v>
      </c>
      <c r="AI19" s="10">
        <v>786.20000000000027</v>
      </c>
      <c r="AJ19" s="10">
        <v>693.90000000000032</v>
      </c>
      <c r="AK19" s="10">
        <v>601.60000000000036</v>
      </c>
      <c r="AL19" s="10">
        <v>509.30000000000035</v>
      </c>
      <c r="AM19" s="75">
        <v>417</v>
      </c>
      <c r="AN19" s="10">
        <v>379.44444444444446</v>
      </c>
      <c r="AO19" s="10">
        <v>341.88888888888891</v>
      </c>
      <c r="AP19" s="10">
        <v>304.33333333333337</v>
      </c>
      <c r="AQ19" s="10">
        <v>266.77777777777783</v>
      </c>
      <c r="AR19" s="10">
        <v>229.22222222222229</v>
      </c>
      <c r="AS19" s="10">
        <v>191.66666666666674</v>
      </c>
      <c r="AT19" s="10">
        <v>154.1111111111112</v>
      </c>
      <c r="AU19" s="10">
        <v>116.55555555555564</v>
      </c>
      <c r="AV19" s="75">
        <v>79</v>
      </c>
    </row>
    <row r="20" spans="3:48" x14ac:dyDescent="0.2">
      <c r="C20" s="11" t="s">
        <v>311</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0</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c r="AU20" s="75">
        <v>0</v>
      </c>
      <c r="AV20" s="75">
        <v>0</v>
      </c>
    </row>
    <row r="21" spans="3:48" s="74" customFormat="1" x14ac:dyDescent="0.2">
      <c r="C21" s="12" t="str">
        <f>+CONCATENATE("Facteur d'escompte @ ",E10*100,"%")</f>
        <v>Facteur d'escompte @ 10%</v>
      </c>
      <c r="E21" s="6">
        <f t="shared" ref="E21:AV21" si="2">+(1+$E$10)^-(E18-($E$18))</f>
        <v>1</v>
      </c>
      <c r="F21" s="6">
        <f t="shared" si="2"/>
        <v>0.90909090909090906</v>
      </c>
      <c r="G21" s="6">
        <f t="shared" si="2"/>
        <v>0.82644628099173545</v>
      </c>
      <c r="H21" s="6">
        <f t="shared" si="2"/>
        <v>0.75131480090157754</v>
      </c>
      <c r="I21" s="6">
        <f t="shared" si="2"/>
        <v>0.68301345536507052</v>
      </c>
      <c r="J21" s="6">
        <f t="shared" si="2"/>
        <v>0.62092132305915493</v>
      </c>
      <c r="K21" s="6">
        <f t="shared" si="2"/>
        <v>0.56447393005377722</v>
      </c>
      <c r="L21" s="6">
        <f t="shared" si="2"/>
        <v>0.51315811823070645</v>
      </c>
      <c r="M21" s="6">
        <f t="shared" si="2"/>
        <v>0.46650738020973315</v>
      </c>
      <c r="N21" s="6">
        <f t="shared" si="2"/>
        <v>0.42409761837248466</v>
      </c>
      <c r="O21" s="6">
        <f t="shared" si="2"/>
        <v>0.38554328942953148</v>
      </c>
      <c r="P21" s="6">
        <f t="shared" si="2"/>
        <v>0.3504938994813922</v>
      </c>
      <c r="Q21" s="6">
        <f t="shared" si="2"/>
        <v>0.31863081771035656</v>
      </c>
      <c r="R21" s="6">
        <f t="shared" si="2"/>
        <v>0.28966437973668779</v>
      </c>
      <c r="S21" s="6">
        <f t="shared" si="2"/>
        <v>0.26333125430607973</v>
      </c>
      <c r="T21" s="6">
        <f t="shared" si="2"/>
        <v>0.23939204936916339</v>
      </c>
      <c r="U21" s="6">
        <f t="shared" si="2"/>
        <v>0.21762913579014853</v>
      </c>
      <c r="V21" s="6">
        <f t="shared" si="2"/>
        <v>0.19784466890013502</v>
      </c>
      <c r="W21" s="6">
        <f t="shared" si="2"/>
        <v>0.17985878990921364</v>
      </c>
      <c r="X21" s="6">
        <f t="shared" si="2"/>
        <v>0.16350799082655781</v>
      </c>
      <c r="Y21" s="6">
        <f t="shared" si="2"/>
        <v>0.14864362802414349</v>
      </c>
      <c r="Z21" s="6">
        <f t="shared" si="2"/>
        <v>0.13513057093103953</v>
      </c>
      <c r="AA21" s="6">
        <f t="shared" si="2"/>
        <v>0.12284597357367227</v>
      </c>
      <c r="AB21" s="6">
        <f t="shared" si="2"/>
        <v>0.11167815779424752</v>
      </c>
      <c r="AC21" s="6">
        <f t="shared" si="2"/>
        <v>0.10152559799477048</v>
      </c>
      <c r="AD21" s="6">
        <f t="shared" si="2"/>
        <v>9.2295998177064048E-2</v>
      </c>
      <c r="AE21" s="6">
        <f t="shared" si="2"/>
        <v>8.3905452888240042E-2</v>
      </c>
      <c r="AF21" s="6">
        <f t="shared" si="2"/>
        <v>7.6277684443854576E-2</v>
      </c>
      <c r="AG21" s="6">
        <f t="shared" si="2"/>
        <v>6.9343349494413245E-2</v>
      </c>
      <c r="AH21" s="6">
        <f t="shared" si="2"/>
        <v>6.3039408631284766E-2</v>
      </c>
      <c r="AI21" s="6">
        <f t="shared" si="2"/>
        <v>5.7308553301167964E-2</v>
      </c>
      <c r="AJ21" s="6">
        <f t="shared" si="2"/>
        <v>5.2098684819243603E-2</v>
      </c>
      <c r="AK21" s="6">
        <f t="shared" si="2"/>
        <v>4.7362440744766907E-2</v>
      </c>
      <c r="AL21" s="6">
        <f t="shared" si="2"/>
        <v>4.3056764313424457E-2</v>
      </c>
      <c r="AM21" s="6">
        <f t="shared" si="2"/>
        <v>3.9142513012204054E-2</v>
      </c>
      <c r="AN21" s="6">
        <f t="shared" si="2"/>
        <v>3.5584102738367311E-2</v>
      </c>
      <c r="AO21" s="6">
        <f t="shared" si="2"/>
        <v>3.2349184307606652E-2</v>
      </c>
      <c r="AP21" s="6">
        <f t="shared" si="2"/>
        <v>2.94083493705515E-2</v>
      </c>
      <c r="AQ21" s="6">
        <f t="shared" si="2"/>
        <v>2.6734863064137721E-2</v>
      </c>
      <c r="AR21" s="6">
        <f t="shared" si="2"/>
        <v>2.4304420967397926E-2</v>
      </c>
      <c r="AS21" s="6">
        <f t="shared" si="2"/>
        <v>2.2094928152179935E-2</v>
      </c>
      <c r="AT21" s="6">
        <f t="shared" si="2"/>
        <v>2.0086298320163575E-2</v>
      </c>
      <c r="AU21" s="6">
        <f t="shared" si="2"/>
        <v>1.8260271200148705E-2</v>
      </c>
      <c r="AV21" s="6">
        <f t="shared" si="2"/>
        <v>1.6600246545589729E-2</v>
      </c>
    </row>
    <row r="22" spans="3:48" x14ac:dyDescent="0.2">
      <c r="C22" s="20" t="s">
        <v>303</v>
      </c>
      <c r="D22" s="21"/>
      <c r="E22" s="22">
        <f>(E20+E19)*E21</f>
        <v>0</v>
      </c>
      <c r="F22" s="22">
        <f>(F20+F19)*F21</f>
        <v>0</v>
      </c>
      <c r="G22" s="22">
        <f t="shared" ref="G22:AV22" si="3">(G20+G19)*G21</f>
        <v>-598.34710743801645</v>
      </c>
      <c r="H22" s="22">
        <f t="shared" si="3"/>
        <v>-1349.3613824192332</v>
      </c>
      <c r="I22" s="22">
        <f t="shared" si="3"/>
        <v>-2094.119254149306</v>
      </c>
      <c r="J22" s="22">
        <f t="shared" si="3"/>
        <v>-847.55760597574647</v>
      </c>
      <c r="K22" s="22">
        <f t="shared" si="3"/>
        <v>528.34759853033552</v>
      </c>
      <c r="L22" s="22">
        <f t="shared" si="3"/>
        <v>551.1318189797787</v>
      </c>
      <c r="M22" s="22">
        <f t="shared" si="3"/>
        <v>463.241828548265</v>
      </c>
      <c r="N22" s="22">
        <f t="shared" si="3"/>
        <v>425.36991122760213</v>
      </c>
      <c r="O22" s="22">
        <f t="shared" si="3"/>
        <v>391.71198206040395</v>
      </c>
      <c r="P22" s="22">
        <f t="shared" si="3"/>
        <v>360.65822256635255</v>
      </c>
      <c r="Q22" s="22">
        <f t="shared" si="3"/>
        <v>332.01331205419154</v>
      </c>
      <c r="R22" s="22">
        <f t="shared" si="3"/>
        <v>305.5959206222056</v>
      </c>
      <c r="S22" s="22">
        <f t="shared" si="3"/>
        <v>281.23777959889316</v>
      </c>
      <c r="T22" s="22">
        <f t="shared" si="3"/>
        <v>262.18217246910774</v>
      </c>
      <c r="U22" s="22">
        <f t="shared" si="3"/>
        <v>244.26694201086272</v>
      </c>
      <c r="V22" s="22">
        <f t="shared" si="3"/>
        <v>227.44223136759524</v>
      </c>
      <c r="W22" s="22">
        <f t="shared" si="3"/>
        <v>211.65782396516263</v>
      </c>
      <c r="X22" s="22">
        <f t="shared" si="3"/>
        <v>196.86362095517563</v>
      </c>
      <c r="Y22" s="22">
        <f t="shared" si="3"/>
        <v>183.0100348233255</v>
      </c>
      <c r="Z22" s="22">
        <f t="shared" si="3"/>
        <v>170.04831045962018</v>
      </c>
      <c r="AA22" s="22">
        <f t="shared" si="3"/>
        <v>157.93078362631312</v>
      </c>
      <c r="AB22" s="22">
        <f t="shared" si="3"/>
        <v>146.61108555228819</v>
      </c>
      <c r="AC22" s="22">
        <f t="shared" si="3"/>
        <v>136.04430131299245</v>
      </c>
      <c r="AD22" s="22">
        <f t="shared" si="3"/>
        <v>115.15771692552282</v>
      </c>
      <c r="AE22" s="22">
        <f t="shared" si="3"/>
        <v>96.944360267072554</v>
      </c>
      <c r="AF22" s="22">
        <f t="shared" si="3"/>
        <v>81.090806332261806</v>
      </c>
      <c r="AG22" s="22">
        <f t="shared" si="3"/>
        <v>67.318523689176388</v>
      </c>
      <c r="AH22" s="22">
        <f t="shared" si="3"/>
        <v>55.380120482583678</v>
      </c>
      <c r="AI22" s="22">
        <f t="shared" si="3"/>
        <v>45.055984605378271</v>
      </c>
      <c r="AJ22" s="22">
        <f t="shared" si="3"/>
        <v>36.151277396073155</v>
      </c>
      <c r="AK22" s="22">
        <f t="shared" si="3"/>
        <v>28.493244352051789</v>
      </c>
      <c r="AL22" s="22">
        <f t="shared" si="3"/>
        <v>21.92881006482709</v>
      </c>
      <c r="AM22" s="22">
        <f t="shared" si="3"/>
        <v>16.322427926089091</v>
      </c>
      <c r="AN22" s="22">
        <f t="shared" si="3"/>
        <v>13.50219009461382</v>
      </c>
      <c r="AO22" s="22">
        <f t="shared" si="3"/>
        <v>11.05982667938952</v>
      </c>
      <c r="AP22" s="22">
        <f t="shared" si="3"/>
        <v>8.9499409917711734</v>
      </c>
      <c r="AQ22" s="22">
        <f t="shared" si="3"/>
        <v>7.1322673574438529</v>
      </c>
      <c r="AR22" s="22">
        <f t="shared" si="3"/>
        <v>5.5711133839713263</v>
      </c>
      <c r="AS22" s="22">
        <f t="shared" si="3"/>
        <v>4.2348612291678229</v>
      </c>
      <c r="AT22" s="22">
        <f t="shared" si="3"/>
        <v>3.0955217522296548</v>
      </c>
      <c r="AU22" s="22">
        <f t="shared" si="3"/>
        <v>2.1283360543284449</v>
      </c>
      <c r="AV22" s="22">
        <f t="shared" si="3"/>
        <v>1.3114194771015886</v>
      </c>
    </row>
    <row r="23" spans="3:48" s="74" customFormat="1" x14ac:dyDescent="0.2">
      <c r="C23" s="12" t="s">
        <v>313</v>
      </c>
      <c r="E23" s="24">
        <f>+SUM($E$22:E22)</f>
        <v>0</v>
      </c>
      <c r="F23" s="24">
        <f>+SUM($E$22:F22)</f>
        <v>0</v>
      </c>
      <c r="G23" s="24">
        <f>+SUM($E$22:G22)</f>
        <v>-598.34710743801645</v>
      </c>
      <c r="H23" s="24">
        <f>+SUM($E$22:H22)</f>
        <v>-1947.7084898572498</v>
      </c>
      <c r="I23" s="24">
        <f>+SUM($E$22:I22)</f>
        <v>-4041.8277440065558</v>
      </c>
      <c r="J23" s="24">
        <f>+SUM($E$22:J22)</f>
        <v>-4889.3853499823026</v>
      </c>
      <c r="K23" s="24">
        <f>+SUM($E$22:K22)</f>
        <v>-4361.0377514519669</v>
      </c>
      <c r="L23" s="24">
        <f>+SUM($E$22:L22)</f>
        <v>-3809.9059324721884</v>
      </c>
      <c r="M23" s="24">
        <f>+SUM($E$22:M22)</f>
        <v>-3346.6641039239234</v>
      </c>
      <c r="N23" s="24">
        <f>+SUM($E$22:N22)</f>
        <v>-2921.2941926963213</v>
      </c>
      <c r="O23" s="24">
        <f>+SUM($E$22:O22)</f>
        <v>-2529.5822106359174</v>
      </c>
      <c r="P23" s="24">
        <f>+SUM($E$22:P22)</f>
        <v>-2168.923988069565</v>
      </c>
      <c r="Q23" s="24">
        <f>+SUM($E$22:Q22)</f>
        <v>-1836.9106760153734</v>
      </c>
      <c r="R23" s="24">
        <f>+SUM($E$22:R22)</f>
        <v>-1531.3147553931678</v>
      </c>
      <c r="S23" s="24">
        <f>+SUM($E$22:S22)</f>
        <v>-1250.0769757942746</v>
      </c>
      <c r="T23" s="24">
        <f>+SUM($E$22:T22)</f>
        <v>-987.89480332516689</v>
      </c>
      <c r="U23" s="24">
        <f>+SUM($E$22:U22)</f>
        <v>-743.62786131430414</v>
      </c>
      <c r="V23" s="24">
        <f>+SUM($E$22:V22)</f>
        <v>-516.1856299467089</v>
      </c>
      <c r="W23" s="24">
        <f>+SUM($E$22:W22)</f>
        <v>-304.52780598154629</v>
      </c>
      <c r="X23" s="24">
        <f>+SUM($E$22:X22)</f>
        <v>-107.66418502637066</v>
      </c>
      <c r="Y23" s="24">
        <f>+SUM($E$22:Y22)</f>
        <v>75.345849796954838</v>
      </c>
      <c r="Z23" s="24">
        <f>+SUM($E$22:Z22)</f>
        <v>245.39416025657502</v>
      </c>
      <c r="AA23" s="24">
        <f>+SUM($E$22:AA22)</f>
        <v>403.32494388288814</v>
      </c>
      <c r="AB23" s="24">
        <f>+SUM($E$22:AB22)</f>
        <v>549.93602943517635</v>
      </c>
      <c r="AC23" s="24">
        <f>+SUM($E$22:AC22)</f>
        <v>685.98033074816885</v>
      </c>
      <c r="AD23" s="24">
        <f>+SUM($E$22:AD22)</f>
        <v>801.13804767369163</v>
      </c>
      <c r="AE23" s="24">
        <f>+SUM($E$22:AE22)</f>
        <v>898.08240794076414</v>
      </c>
      <c r="AF23" s="24">
        <f>+SUM($E$22:AF22)</f>
        <v>979.17321427302591</v>
      </c>
      <c r="AG23" s="24">
        <f>+SUM($E$22:AG22)</f>
        <v>1046.4917379622023</v>
      </c>
      <c r="AH23" s="24">
        <f>+SUM($E$22:AH22)</f>
        <v>1101.8718584447859</v>
      </c>
      <c r="AI23" s="24">
        <f>+SUM($E$22:AI22)</f>
        <v>1146.927843050164</v>
      </c>
      <c r="AJ23" s="24">
        <f>+SUM($E$22:AJ22)</f>
        <v>1183.0791204462371</v>
      </c>
      <c r="AK23" s="24">
        <f>+SUM($E$22:AK22)</f>
        <v>1211.5723647982888</v>
      </c>
      <c r="AL23" s="24">
        <f>+SUM($E$22:AL22)</f>
        <v>1233.5011748631159</v>
      </c>
      <c r="AM23" s="24">
        <f>+SUM($E$22:AM22)</f>
        <v>1249.8236027892051</v>
      </c>
      <c r="AN23" s="24">
        <f>+SUM($E$22:AN22)</f>
        <v>1263.3257928838188</v>
      </c>
      <c r="AO23" s="24">
        <f>+SUM($E$22:AO22)</f>
        <v>1274.3856195632084</v>
      </c>
      <c r="AP23" s="24">
        <f>+SUM($E$22:AP22)</f>
        <v>1283.3355605549796</v>
      </c>
      <c r="AQ23" s="24">
        <f>+SUM($E$22:AQ22)</f>
        <v>1290.4678279124234</v>
      </c>
      <c r="AR23" s="24">
        <f>+SUM($E$22:AR22)</f>
        <v>1296.0389412963948</v>
      </c>
      <c r="AS23" s="24">
        <f>+SUM($E$22:AS22)</f>
        <v>1300.2738025255626</v>
      </c>
      <c r="AT23" s="24">
        <f>+SUM($E$22:AT22)</f>
        <v>1303.3693242777922</v>
      </c>
      <c r="AU23" s="24">
        <f>+SUM($E$22:AU22)</f>
        <v>1305.4976603321206</v>
      </c>
      <c r="AV23" s="24">
        <f>+SUM($E$22:AV22)</f>
        <v>1306.8090798092221</v>
      </c>
    </row>
  </sheetData>
  <pageMargins left="0.7" right="0.7" top="0.75" bottom="0.75" header="0.3" footer="0.3"/>
  <pageSetup scale="30" orientation="landscape"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85FB0-ECA4-4A7A-B216-67BD3CA09EA4}">
  <sheetPr codeName="Sheet36"/>
  <dimension ref="C2:AV25"/>
  <sheetViews>
    <sheetView showGridLines="0" view="pageBreakPreview" topLeftCell="A4" zoomScaleNormal="100" zoomScaleSheetLayoutView="100" workbookViewId="0">
      <selection activeCell="E13" sqref="E13"/>
    </sheetView>
  </sheetViews>
  <sheetFormatPr defaultColWidth="8.7109375" defaultRowHeight="12.75" x14ac:dyDescent="0.2"/>
  <cols>
    <col min="1" max="1" width="8.7109375" style="73"/>
    <col min="2" max="2" width="1.7109375" style="73" customWidth="1"/>
    <col min="3" max="4" width="15.7109375" style="73" customWidth="1"/>
    <col min="5" max="5" width="8.7109375" style="73" customWidth="1"/>
    <col min="6" max="45" width="8.7109375" style="73"/>
    <col min="46" max="46" width="10.85546875" style="73" bestFit="1" customWidth="1"/>
    <col min="47" max="47" width="7.28515625" style="73" bestFit="1" customWidth="1"/>
    <col min="48" max="16384" width="8.7109375" style="73"/>
  </cols>
  <sheetData>
    <row r="2" spans="3:46" x14ac:dyDescent="0.2">
      <c r="C2" s="73"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74"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9">
        <f>+SUM(E24:AV24)</f>
        <v>923.22349659650069</v>
      </c>
      <c r="F12" s="1"/>
      <c r="G12" s="1"/>
      <c r="H12" s="1"/>
      <c r="I12" s="1"/>
      <c r="J12" s="1"/>
      <c r="K12" s="1"/>
      <c r="L12" s="1"/>
      <c r="M12" s="1"/>
      <c r="N12" s="1"/>
      <c r="O12" s="1"/>
      <c r="P12" s="1"/>
    </row>
    <row r="13" spans="3:46" x14ac:dyDescent="0.2">
      <c r="C13" s="28" t="s">
        <v>302</v>
      </c>
      <c r="D13" s="76"/>
      <c r="E13" s="29">
        <v>1394</v>
      </c>
      <c r="F13" s="1"/>
      <c r="G13" s="1"/>
      <c r="H13" s="1"/>
      <c r="I13" s="1"/>
      <c r="J13" s="1"/>
      <c r="K13" s="1"/>
      <c r="L13" s="1"/>
      <c r="M13" s="1"/>
      <c r="N13" s="1"/>
      <c r="O13" s="1"/>
      <c r="P13" s="1"/>
    </row>
    <row r="14" spans="3:46" x14ac:dyDescent="0.2">
      <c r="C14" s="32" t="s">
        <v>2</v>
      </c>
      <c r="D14" s="30"/>
      <c r="E14" s="31">
        <f>+E12-E13</f>
        <v>-470.77650340349931</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318</v>
      </c>
      <c r="AL16" s="15"/>
      <c r="AM16" s="15"/>
      <c r="AN16" s="15"/>
      <c r="AO16" s="15"/>
      <c r="AP16" s="15"/>
      <c r="AQ16" s="15"/>
      <c r="AR16" s="15"/>
      <c r="AS16" s="15"/>
      <c r="AT16" s="15"/>
    </row>
    <row r="17" spans="3:48" x14ac:dyDescent="0.2">
      <c r="E17" s="1"/>
      <c r="F17" s="1"/>
      <c r="G17" s="1"/>
      <c r="H17" s="1"/>
      <c r="I17" s="1"/>
      <c r="J17" s="1"/>
      <c r="K17" s="1"/>
      <c r="L17" s="1"/>
      <c r="M17" s="1"/>
      <c r="N17" s="1"/>
      <c r="O17" s="1"/>
      <c r="P17" s="1"/>
    </row>
    <row r="18" spans="3:48"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c r="AU18" s="3">
        <v>2059</v>
      </c>
      <c r="AV18" s="3">
        <v>2059</v>
      </c>
    </row>
    <row r="19" spans="3:48" x14ac:dyDescent="0.2">
      <c r="C19" s="81" t="s">
        <v>308</v>
      </c>
      <c r="E19" s="77">
        <v>0</v>
      </c>
      <c r="F19" s="77">
        <v>0</v>
      </c>
      <c r="G19" s="77">
        <f>1.076*726</f>
        <v>781.17600000000004</v>
      </c>
      <c r="H19" s="77">
        <f>1.076*1802</f>
        <v>1938.9520000000002</v>
      </c>
      <c r="I19" s="77">
        <f>1.076*3075</f>
        <v>3308.7000000000003</v>
      </c>
      <c r="J19" s="77">
        <f>1.076*1377</f>
        <v>1481.652</v>
      </c>
      <c r="K19" s="77">
        <f>1.076*37</f>
        <v>39.812000000000005</v>
      </c>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row>
    <row r="20" spans="3:48" x14ac:dyDescent="0.2">
      <c r="C20" s="81" t="s">
        <v>315</v>
      </c>
      <c r="E20" s="77">
        <v>0</v>
      </c>
      <c r="F20" s="77">
        <v>0</v>
      </c>
      <c r="G20" s="77">
        <v>1</v>
      </c>
      <c r="H20" s="77">
        <v>6</v>
      </c>
      <c r="I20" s="77">
        <v>9</v>
      </c>
      <c r="J20" s="77">
        <v>12</v>
      </c>
      <c r="K20" s="77">
        <v>974</v>
      </c>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row>
    <row r="21" spans="3:48" x14ac:dyDescent="0.2">
      <c r="C21" s="11" t="s">
        <v>312</v>
      </c>
      <c r="E21" s="75">
        <f>E20-E19</f>
        <v>0</v>
      </c>
      <c r="F21" s="75">
        <f t="shared" ref="F21:H21" si="2">F20-F19</f>
        <v>0</v>
      </c>
      <c r="G21" s="75">
        <f t="shared" si="2"/>
        <v>-780.17600000000004</v>
      </c>
      <c r="H21" s="75">
        <f t="shared" si="2"/>
        <v>-1932.9520000000002</v>
      </c>
      <c r="I21" s="75">
        <f>I20-I19</f>
        <v>-3299.7000000000003</v>
      </c>
      <c r="J21" s="75">
        <f>J20-J19</f>
        <v>-1469.652</v>
      </c>
      <c r="K21" s="75">
        <f>K20-K19</f>
        <v>934.18799999999999</v>
      </c>
      <c r="L21" s="75">
        <v>1074</v>
      </c>
      <c r="M21" s="75">
        <v>993</v>
      </c>
      <c r="N21" s="75">
        <v>1003</v>
      </c>
      <c r="O21" s="10">
        <f>+N21-(($N$21-$S$21)/($S$18-$N$18))</f>
        <v>1016</v>
      </c>
      <c r="P21" s="10">
        <f>+O21-(($N$21-$S$21)/($S$18-$N$18))</f>
        <v>1029</v>
      </c>
      <c r="Q21" s="10">
        <f>+P21-(($N$21-$S$21)/($S$18-$N$18))</f>
        <v>1042</v>
      </c>
      <c r="R21" s="10">
        <f>+Q21-(($N$21-$S$21)/($S$18-$N$18))</f>
        <v>1055</v>
      </c>
      <c r="S21" s="75">
        <v>1068</v>
      </c>
      <c r="T21" s="10">
        <f t="shared" ref="T21:AB21" si="3">+S21-(($S$21-$AC$21)/($AC$18-$S$18))</f>
        <v>1095.2</v>
      </c>
      <c r="U21" s="10">
        <f t="shared" si="3"/>
        <v>1122.4000000000001</v>
      </c>
      <c r="V21" s="10">
        <f t="shared" si="3"/>
        <v>1149.6000000000001</v>
      </c>
      <c r="W21" s="10">
        <f t="shared" si="3"/>
        <v>1176.8000000000002</v>
      </c>
      <c r="X21" s="10">
        <f t="shared" si="3"/>
        <v>1204.0000000000002</v>
      </c>
      <c r="Y21" s="10">
        <f t="shared" si="3"/>
        <v>1231.2000000000003</v>
      </c>
      <c r="Z21" s="10">
        <f t="shared" si="3"/>
        <v>1258.4000000000003</v>
      </c>
      <c r="AA21" s="10">
        <f t="shared" si="3"/>
        <v>1285.6000000000004</v>
      </c>
      <c r="AB21" s="10">
        <f t="shared" si="3"/>
        <v>1312.8000000000004</v>
      </c>
      <c r="AC21" s="75">
        <v>1340</v>
      </c>
      <c r="AD21" s="10">
        <f t="shared" ref="AD21:AL21" si="4">+AC21-(($AC$21-$AM$21)/($AM$18-$AC$18))</f>
        <v>1247.7</v>
      </c>
      <c r="AE21" s="10">
        <f t="shared" si="4"/>
        <v>1155.4000000000001</v>
      </c>
      <c r="AF21" s="10">
        <f t="shared" si="4"/>
        <v>1063.1000000000001</v>
      </c>
      <c r="AG21" s="10">
        <f t="shared" si="4"/>
        <v>970.80000000000018</v>
      </c>
      <c r="AH21" s="10">
        <f t="shared" si="4"/>
        <v>878.50000000000023</v>
      </c>
      <c r="AI21" s="10">
        <f t="shared" si="4"/>
        <v>786.20000000000027</v>
      </c>
      <c r="AJ21" s="10">
        <f t="shared" si="4"/>
        <v>693.90000000000032</v>
      </c>
      <c r="AK21" s="10">
        <f t="shared" si="4"/>
        <v>601.60000000000036</v>
      </c>
      <c r="AL21" s="10">
        <f t="shared" si="4"/>
        <v>509.30000000000035</v>
      </c>
      <c r="AM21" s="75">
        <v>417</v>
      </c>
      <c r="AN21" s="10">
        <f t="shared" ref="AN21:AU21" si="5">+AM21-(($AM$21-$AV$21)/($AV$18-$AM$18))</f>
        <v>368.71428571428572</v>
      </c>
      <c r="AO21" s="10">
        <f t="shared" si="5"/>
        <v>320.42857142857144</v>
      </c>
      <c r="AP21" s="10">
        <f t="shared" si="5"/>
        <v>272.14285714285717</v>
      </c>
      <c r="AQ21" s="10">
        <f t="shared" si="5"/>
        <v>223.85714285714289</v>
      </c>
      <c r="AR21" s="10">
        <f t="shared" si="5"/>
        <v>175.57142857142861</v>
      </c>
      <c r="AS21" s="10">
        <f t="shared" si="5"/>
        <v>127.28571428571433</v>
      </c>
      <c r="AT21" s="10">
        <f t="shared" si="5"/>
        <v>79.000000000000057</v>
      </c>
      <c r="AU21" s="10">
        <f t="shared" si="5"/>
        <v>30.714285714285772</v>
      </c>
      <c r="AV21" s="75">
        <v>79</v>
      </c>
    </row>
    <row r="22" spans="3:48" x14ac:dyDescent="0.2">
      <c r="C22" s="11" t="s">
        <v>311</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c r="AV22" s="75">
        <v>0</v>
      </c>
    </row>
    <row r="23" spans="3:48" s="74" customFormat="1" x14ac:dyDescent="0.2">
      <c r="C23" s="12" t="str">
        <f>+CONCATENATE("Facteur d'escompte @ ",E10*100,"%")</f>
        <v>Facteur d'escompte @ 10%</v>
      </c>
      <c r="E23" s="6">
        <f t="shared" ref="E23:AV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c r="AU23" s="6">
        <f t="shared" si="6"/>
        <v>2.0086298320163575E-2</v>
      </c>
      <c r="AV23" s="6">
        <f t="shared" si="6"/>
        <v>2.0086298320163575E-2</v>
      </c>
    </row>
    <row r="24" spans="3:48" x14ac:dyDescent="0.2">
      <c r="C24" s="20" t="s">
        <v>303</v>
      </c>
      <c r="D24" s="21"/>
      <c r="E24" s="22">
        <f>(E22+E21)*E23</f>
        <v>0</v>
      </c>
      <c r="F24" s="22">
        <f>(F22+F21)*F23</f>
        <v>0</v>
      </c>
      <c r="G24" s="22">
        <f t="shared" ref="G24:AV24" si="7">(G22+G21)*G23</f>
        <v>-644.77355371900819</v>
      </c>
      <c r="H24" s="22">
        <f t="shared" si="7"/>
        <v>-1452.2554470323062</v>
      </c>
      <c r="I24" s="22">
        <f t="shared" si="7"/>
        <v>-2253.7394986681234</v>
      </c>
      <c r="J24" s="22">
        <f t="shared" si="7"/>
        <v>-912.53826427653314</v>
      </c>
      <c r="K24" s="22">
        <f t="shared" si="7"/>
        <v>527.32477176907798</v>
      </c>
      <c r="L24" s="22">
        <f t="shared" si="7"/>
        <v>551.1318189797787</v>
      </c>
      <c r="M24" s="22">
        <f t="shared" si="7"/>
        <v>463.241828548265</v>
      </c>
      <c r="N24" s="22">
        <f t="shared" si="7"/>
        <v>425.36991122760213</v>
      </c>
      <c r="O24" s="22">
        <f t="shared" si="7"/>
        <v>391.71198206040395</v>
      </c>
      <c r="P24" s="22">
        <f t="shared" si="7"/>
        <v>360.65822256635255</v>
      </c>
      <c r="Q24" s="22">
        <f t="shared" si="7"/>
        <v>332.01331205419154</v>
      </c>
      <c r="R24" s="22">
        <f t="shared" si="7"/>
        <v>305.5959206222056</v>
      </c>
      <c r="S24" s="22">
        <f t="shared" si="7"/>
        <v>281.23777959889316</v>
      </c>
      <c r="T24" s="22">
        <f t="shared" si="7"/>
        <v>262.18217246910774</v>
      </c>
      <c r="U24" s="22">
        <f t="shared" si="7"/>
        <v>244.26694201086272</v>
      </c>
      <c r="V24" s="22">
        <f t="shared" si="7"/>
        <v>227.44223136759524</v>
      </c>
      <c r="W24" s="22">
        <f t="shared" si="7"/>
        <v>211.65782396516263</v>
      </c>
      <c r="X24" s="22">
        <f t="shared" si="7"/>
        <v>196.86362095517563</v>
      </c>
      <c r="Y24" s="22">
        <f t="shared" si="7"/>
        <v>183.0100348233255</v>
      </c>
      <c r="Z24" s="22">
        <f t="shared" si="7"/>
        <v>170.04831045962018</v>
      </c>
      <c r="AA24" s="22">
        <f t="shared" si="7"/>
        <v>157.93078362631312</v>
      </c>
      <c r="AB24" s="22">
        <f t="shared" si="7"/>
        <v>146.61108555228819</v>
      </c>
      <c r="AC24" s="22">
        <f t="shared" si="7"/>
        <v>136.04430131299245</v>
      </c>
      <c r="AD24" s="22">
        <f t="shared" si="7"/>
        <v>115.15771692552282</v>
      </c>
      <c r="AE24" s="22">
        <f t="shared" si="7"/>
        <v>96.944360267072554</v>
      </c>
      <c r="AF24" s="22">
        <f t="shared" si="7"/>
        <v>81.090806332261806</v>
      </c>
      <c r="AG24" s="22">
        <f t="shared" si="7"/>
        <v>67.318523689176388</v>
      </c>
      <c r="AH24" s="22">
        <f t="shared" si="7"/>
        <v>55.380120482583678</v>
      </c>
      <c r="AI24" s="22">
        <f t="shared" si="7"/>
        <v>45.055984605378271</v>
      </c>
      <c r="AJ24" s="22">
        <f t="shared" si="7"/>
        <v>36.151277396073155</v>
      </c>
      <c r="AK24" s="22">
        <f t="shared" si="7"/>
        <v>28.493244352051789</v>
      </c>
      <c r="AL24" s="22">
        <f t="shared" si="7"/>
        <v>21.92881006482709</v>
      </c>
      <c r="AM24" s="22">
        <f t="shared" si="7"/>
        <v>16.322427926089091</v>
      </c>
      <c r="AN24" s="22">
        <f t="shared" si="7"/>
        <v>13.120367023960862</v>
      </c>
      <c r="AO24" s="22">
        <f t="shared" si="7"/>
        <v>10.36560291456596</v>
      </c>
      <c r="AP24" s="22">
        <f t="shared" si="7"/>
        <v>8.0032722215572303</v>
      </c>
      <c r="AQ24" s="22">
        <f t="shared" si="7"/>
        <v>5.9847900602148307</v>
      </c>
      <c r="AR24" s="22">
        <f t="shared" si="7"/>
        <v>4.2671619098474372</v>
      </c>
      <c r="AS24" s="22">
        <f t="shared" si="7"/>
        <v>2.8123687119417613</v>
      </c>
      <c r="AT24" s="22">
        <f t="shared" si="7"/>
        <v>1.5868175672929237</v>
      </c>
      <c r="AU24" s="22">
        <f t="shared" si="7"/>
        <v>0.61693630554788237</v>
      </c>
      <c r="AV24" s="22">
        <f t="shared" si="7"/>
        <v>1.5868175672929223</v>
      </c>
    </row>
    <row r="25" spans="3:48" s="74" customFormat="1" x14ac:dyDescent="0.2">
      <c r="C25" s="12" t="s">
        <v>313</v>
      </c>
      <c r="E25" s="24">
        <f>+SUM($E$24:E24)</f>
        <v>0</v>
      </c>
      <c r="F25" s="24">
        <f>+SUM($E$24:F24)</f>
        <v>0</v>
      </c>
      <c r="G25" s="24">
        <f>+SUM($E$24:G24)</f>
        <v>-644.77355371900819</v>
      </c>
      <c r="H25" s="24">
        <f>+SUM($E$24:H24)</f>
        <v>-2097.0290007513145</v>
      </c>
      <c r="I25" s="24">
        <f>+SUM($E$24:I24)</f>
        <v>-4350.7684994194378</v>
      </c>
      <c r="J25" s="24">
        <f>+SUM($E$24:J24)</f>
        <v>-5263.3067636959713</v>
      </c>
      <c r="K25" s="24">
        <f>+SUM($E$24:K24)</f>
        <v>-4735.981991926893</v>
      </c>
      <c r="L25" s="24">
        <f>+SUM($E$24:L24)</f>
        <v>-4184.8501729471145</v>
      </c>
      <c r="M25" s="24">
        <f>+SUM($E$24:M24)</f>
        <v>-3721.6083443988496</v>
      </c>
      <c r="N25" s="24">
        <f>+SUM($E$24:N24)</f>
        <v>-3296.2384331712474</v>
      </c>
      <c r="O25" s="24">
        <f>+SUM($E$24:O24)</f>
        <v>-2904.5264511108435</v>
      </c>
      <c r="P25" s="24">
        <f>+SUM($E$24:P24)</f>
        <v>-2543.8682285444911</v>
      </c>
      <c r="Q25" s="24">
        <f>+SUM($E$24:Q24)</f>
        <v>-2211.8549164902997</v>
      </c>
      <c r="R25" s="24">
        <f>+SUM($E$24:R24)</f>
        <v>-1906.2589958680942</v>
      </c>
      <c r="S25" s="24">
        <f>+SUM($E$24:S24)</f>
        <v>-1625.021216269201</v>
      </c>
      <c r="T25" s="24">
        <f>+SUM($E$24:T24)</f>
        <v>-1362.8390438000934</v>
      </c>
      <c r="U25" s="24">
        <f>+SUM($E$24:U24)</f>
        <v>-1118.5721017892306</v>
      </c>
      <c r="V25" s="24">
        <f>+SUM($E$24:V24)</f>
        <v>-891.12987042163536</v>
      </c>
      <c r="W25" s="24">
        <f>+SUM($E$24:W24)</f>
        <v>-679.47204645647275</v>
      </c>
      <c r="X25" s="24">
        <f>+SUM($E$24:X24)</f>
        <v>-482.60842550129712</v>
      </c>
      <c r="Y25" s="24">
        <f>+SUM($E$24:Y24)</f>
        <v>-299.59839067797162</v>
      </c>
      <c r="Z25" s="24">
        <f>+SUM($E$24:Z24)</f>
        <v>-129.55008021835144</v>
      </c>
      <c r="AA25" s="24">
        <f>+SUM($E$24:AA24)</f>
        <v>28.380703407961676</v>
      </c>
      <c r="AB25" s="24">
        <f>+SUM($E$24:AB24)</f>
        <v>174.99178896024986</v>
      </c>
      <c r="AC25" s="24">
        <f>+SUM($E$24:AC24)</f>
        <v>311.03609027324228</v>
      </c>
      <c r="AD25" s="24">
        <f>+SUM($E$24:AD24)</f>
        <v>426.19380719876511</v>
      </c>
      <c r="AE25" s="24">
        <f>+SUM($E$24:AE24)</f>
        <v>523.13816746583768</v>
      </c>
      <c r="AF25" s="24">
        <f>+SUM($E$24:AF24)</f>
        <v>604.22897379809945</v>
      </c>
      <c r="AG25" s="24">
        <f>+SUM($E$24:AG24)</f>
        <v>671.54749748727579</v>
      </c>
      <c r="AH25" s="24">
        <f>+SUM($E$24:AH24)</f>
        <v>726.92761796985951</v>
      </c>
      <c r="AI25" s="24">
        <f>+SUM($E$24:AI24)</f>
        <v>771.9836025752378</v>
      </c>
      <c r="AJ25" s="24">
        <f>+SUM($E$24:AJ24)</f>
        <v>808.13487997131097</v>
      </c>
      <c r="AK25" s="24">
        <f>+SUM($E$24:AK24)</f>
        <v>836.62812432336273</v>
      </c>
      <c r="AL25" s="24">
        <f>+SUM($E$24:AL24)</f>
        <v>858.5569343881898</v>
      </c>
      <c r="AM25" s="24">
        <f>+SUM($E$24:AM24)</f>
        <v>874.87936231427886</v>
      </c>
      <c r="AN25" s="24">
        <f>+SUM($E$24:AN24)</f>
        <v>887.99972933823972</v>
      </c>
      <c r="AO25" s="24">
        <f>+SUM($E$24:AO24)</f>
        <v>898.36533225280573</v>
      </c>
      <c r="AP25" s="24">
        <f>+SUM($E$24:AP24)</f>
        <v>906.368604474363</v>
      </c>
      <c r="AQ25" s="24">
        <f>+SUM($E$24:AQ24)</f>
        <v>912.35339453457777</v>
      </c>
      <c r="AR25" s="24">
        <f>+SUM($E$24:AR24)</f>
        <v>916.62055644442523</v>
      </c>
      <c r="AS25" s="24">
        <f>+SUM($E$24:AS24)</f>
        <v>919.43292515636699</v>
      </c>
      <c r="AT25" s="24">
        <f>+SUM($E$24:AT24)</f>
        <v>921.01974272365987</v>
      </c>
      <c r="AU25" s="24">
        <f>+SUM($E$24:AU24)</f>
        <v>921.63667902920781</v>
      </c>
      <c r="AV25" s="24">
        <f>+SUM($E$24:AV24)</f>
        <v>923.22349659650069</v>
      </c>
    </row>
  </sheetData>
  <pageMargins left="0.7" right="0.7" top="0.75" bottom="0.75" header="0.3" footer="0.3"/>
  <pageSetup scale="30" orientation="landscape"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FF974-6A26-43A5-9F8B-DB13110B1E03}">
  <sheetPr codeName="Sheet7"/>
  <dimension ref="A1:P42"/>
  <sheetViews>
    <sheetView workbookViewId="0">
      <selection activeCell="M24" sqref="M24:O29"/>
    </sheetView>
  </sheetViews>
  <sheetFormatPr defaultColWidth="9.140625" defaultRowHeight="12.75" x14ac:dyDescent="0.2"/>
  <cols>
    <col min="1" max="1" width="32.140625" style="33" bestFit="1" customWidth="1"/>
    <col min="2" max="2" width="20.85546875" style="33" bestFit="1" customWidth="1"/>
    <col min="3" max="3" width="24.140625" style="33" bestFit="1" customWidth="1"/>
    <col min="4" max="4" width="24.140625" style="78" customWidth="1"/>
    <col min="5" max="5" width="14.5703125" style="33" customWidth="1"/>
    <col min="6" max="6" width="9.140625" style="33"/>
    <col min="7" max="7" width="14.7109375" style="33" customWidth="1"/>
    <col min="8" max="16384" width="9.140625" style="33"/>
  </cols>
  <sheetData>
    <row r="1" spans="1:14" x14ac:dyDescent="0.2">
      <c r="A1" s="35" t="s">
        <v>319</v>
      </c>
    </row>
    <row r="2" spans="1:14" x14ac:dyDescent="0.2">
      <c r="B2" s="33" t="s">
        <v>320</v>
      </c>
      <c r="C2" s="33" t="s">
        <v>321</v>
      </c>
      <c r="D2" s="78" t="s">
        <v>477</v>
      </c>
      <c r="E2" s="33" t="s">
        <v>322</v>
      </c>
      <c r="G2" s="33" t="s">
        <v>323</v>
      </c>
      <c r="H2" s="33" t="s">
        <v>53</v>
      </c>
    </row>
    <row r="3" spans="1:14" x14ac:dyDescent="0.2">
      <c r="A3" s="33" t="s">
        <v>32</v>
      </c>
      <c r="B3" s="33">
        <v>79.06</v>
      </c>
      <c r="C3" s="33">
        <v>155.37</v>
      </c>
      <c r="D3" s="78">
        <v>10.4</v>
      </c>
      <c r="E3" s="39">
        <v>14.95</v>
      </c>
      <c r="G3" s="42">
        <v>43446</v>
      </c>
      <c r="H3" s="36" t="s">
        <v>63</v>
      </c>
    </row>
    <row r="4" spans="1:14" x14ac:dyDescent="0.2">
      <c r="A4" s="33" t="s">
        <v>56</v>
      </c>
      <c r="B4" s="33">
        <v>49.62</v>
      </c>
      <c r="C4" s="33">
        <v>101.11</v>
      </c>
      <c r="D4" s="78">
        <v>7.4</v>
      </c>
      <c r="E4" s="33">
        <v>13.65</v>
      </c>
      <c r="G4" s="42">
        <v>43446</v>
      </c>
      <c r="H4" s="36" t="s">
        <v>62</v>
      </c>
    </row>
    <row r="5" spans="1:14" x14ac:dyDescent="0.2">
      <c r="A5" s="33" t="s">
        <v>331</v>
      </c>
      <c r="B5" s="33">
        <v>22.49</v>
      </c>
      <c r="C5" s="33">
        <v>31.8</v>
      </c>
      <c r="D5" s="78">
        <v>2</v>
      </c>
      <c r="E5" s="39">
        <v>15.9</v>
      </c>
      <c r="G5" s="42">
        <v>43446</v>
      </c>
      <c r="H5" s="36" t="s">
        <v>61</v>
      </c>
    </row>
    <row r="6" spans="1:14" x14ac:dyDescent="0.2">
      <c r="A6" s="33" t="s">
        <v>330</v>
      </c>
      <c r="B6" s="33">
        <v>8.2200000000000006</v>
      </c>
      <c r="C6" s="33">
        <v>13.69</v>
      </c>
      <c r="D6" s="78">
        <v>1.3</v>
      </c>
      <c r="E6" s="39">
        <v>10.93</v>
      </c>
      <c r="G6" s="42">
        <v>43446</v>
      </c>
      <c r="H6" s="36" t="s">
        <v>60</v>
      </c>
    </row>
    <row r="7" spans="1:14" x14ac:dyDescent="0.2">
      <c r="A7" s="33" t="s">
        <v>55</v>
      </c>
      <c r="B7" s="33">
        <v>3.98</v>
      </c>
      <c r="C7" s="33">
        <v>16.100000000000001</v>
      </c>
      <c r="D7" s="78">
        <v>0.8</v>
      </c>
      <c r="E7" s="39">
        <v>20.82</v>
      </c>
      <c r="G7" s="42">
        <v>43446</v>
      </c>
      <c r="H7" s="36" t="s">
        <v>59</v>
      </c>
    </row>
    <row r="8" spans="1:14" x14ac:dyDescent="0.2">
      <c r="A8" s="33" t="s">
        <v>332</v>
      </c>
      <c r="B8" s="33">
        <v>5.99</v>
      </c>
      <c r="C8" s="33">
        <v>8.06</v>
      </c>
      <c r="D8" s="78">
        <v>0.8</v>
      </c>
      <c r="E8" s="39">
        <v>10.48</v>
      </c>
      <c r="G8" s="42">
        <v>43446</v>
      </c>
      <c r="H8" s="36" t="s">
        <v>58</v>
      </c>
    </row>
    <row r="9" spans="1:14" x14ac:dyDescent="0.2">
      <c r="A9" s="33" t="s">
        <v>329</v>
      </c>
      <c r="B9" s="33">
        <v>2.88</v>
      </c>
      <c r="C9" s="33">
        <v>4.12</v>
      </c>
      <c r="D9" s="78">
        <v>0.4</v>
      </c>
      <c r="E9" s="33">
        <v>11.11</v>
      </c>
      <c r="G9" s="42">
        <v>43446</v>
      </c>
      <c r="H9" s="36" t="s">
        <v>57</v>
      </c>
    </row>
    <row r="11" spans="1:14" ht="16.5" customHeight="1" x14ac:dyDescent="0.2">
      <c r="A11" s="41" t="s">
        <v>324</v>
      </c>
      <c r="E11" s="40">
        <f>AVERAGE(E3:E9)</f>
        <v>13.977142857142857</v>
      </c>
    </row>
    <row r="14" spans="1:14" x14ac:dyDescent="0.2">
      <c r="B14" s="33" t="s">
        <v>326</v>
      </c>
      <c r="C14" s="33" t="s">
        <v>334</v>
      </c>
      <c r="E14" s="33" t="s">
        <v>325</v>
      </c>
      <c r="F14" s="33" t="s">
        <v>336</v>
      </c>
      <c r="G14" s="33" t="s">
        <v>337</v>
      </c>
      <c r="H14" s="33" t="s">
        <v>327</v>
      </c>
      <c r="M14" s="33" t="s">
        <v>328</v>
      </c>
    </row>
    <row r="15" spans="1:14" x14ac:dyDescent="0.2">
      <c r="A15" s="33" t="s">
        <v>32</v>
      </c>
      <c r="B15" s="39">
        <v>0.92</v>
      </c>
      <c r="C15" s="33">
        <f t="shared" ref="C15:C21" si="0">B3</f>
        <v>79.06</v>
      </c>
      <c r="E15" s="33">
        <v>63.72</v>
      </c>
      <c r="F15" s="33">
        <f t="shared" ref="F15:F21" si="1">E15/C15</f>
        <v>0.80597014925373134</v>
      </c>
      <c r="G15" s="33">
        <f t="shared" ref="G15:G21" si="2">E15/(C15+E15)</f>
        <v>0.4462809917355372</v>
      </c>
      <c r="H15" s="33">
        <f t="shared" ref="H15:H21" si="3">B15/(1+((1-$M$15)*F15))</f>
        <v>0.57921443337718481</v>
      </c>
      <c r="M15" s="33">
        <v>0.27</v>
      </c>
    </row>
    <row r="16" spans="1:14" x14ac:dyDescent="0.2">
      <c r="A16" s="33" t="s">
        <v>56</v>
      </c>
      <c r="B16" s="103">
        <v>0.49</v>
      </c>
      <c r="C16" s="103">
        <f t="shared" si="0"/>
        <v>49.62</v>
      </c>
      <c r="D16" s="103"/>
      <c r="E16" s="103">
        <v>47.64</v>
      </c>
      <c r="F16" s="103">
        <f t="shared" si="1"/>
        <v>0.96009673518742444</v>
      </c>
      <c r="G16" s="103">
        <f t="shared" si="2"/>
        <v>0.48982109808760027</v>
      </c>
      <c r="H16" s="103">
        <f t="shared" si="3"/>
        <v>0.28808775646585427</v>
      </c>
      <c r="I16" s="103"/>
      <c r="J16" s="103"/>
      <c r="K16" s="103"/>
      <c r="L16" s="103"/>
      <c r="M16" s="103"/>
      <c r="N16" s="103"/>
    </row>
    <row r="17" spans="1:16" x14ac:dyDescent="0.2">
      <c r="A17" s="33" t="s">
        <v>331</v>
      </c>
      <c r="B17" s="103">
        <v>0.8</v>
      </c>
      <c r="C17" s="103">
        <f t="shared" si="0"/>
        <v>22.49</v>
      </c>
      <c r="D17" s="103"/>
      <c r="E17" s="103">
        <v>7.56</v>
      </c>
      <c r="F17" s="103">
        <f t="shared" si="1"/>
        <v>0.33614939973321478</v>
      </c>
      <c r="G17" s="103">
        <f t="shared" si="2"/>
        <v>0.25158069883527456</v>
      </c>
      <c r="H17" s="103">
        <f t="shared" si="3"/>
        <v>0.64236954100139965</v>
      </c>
      <c r="I17" s="103"/>
      <c r="J17" s="103"/>
      <c r="K17" s="103"/>
      <c r="L17" s="103"/>
      <c r="M17" s="103"/>
      <c r="N17" s="103"/>
    </row>
    <row r="18" spans="1:16" x14ac:dyDescent="0.2">
      <c r="A18" s="33" t="s">
        <v>330</v>
      </c>
      <c r="B18" s="103">
        <v>1.26</v>
      </c>
      <c r="C18" s="103">
        <f t="shared" si="0"/>
        <v>8.2200000000000006</v>
      </c>
      <c r="D18" s="103"/>
      <c r="E18" s="103">
        <v>5.32</v>
      </c>
      <c r="F18" s="103">
        <f t="shared" si="1"/>
        <v>0.64720194647201945</v>
      </c>
      <c r="G18" s="103">
        <f t="shared" si="2"/>
        <v>0.39290989660265879</v>
      </c>
      <c r="H18" s="103">
        <f t="shared" si="3"/>
        <v>0.85571235004461488</v>
      </c>
      <c r="I18" s="103"/>
      <c r="J18" s="103"/>
      <c r="K18" s="103"/>
      <c r="L18" s="103"/>
      <c r="M18" s="103"/>
      <c r="N18" s="103"/>
    </row>
    <row r="19" spans="1:16" x14ac:dyDescent="0.2">
      <c r="A19" s="33" t="s">
        <v>55</v>
      </c>
      <c r="B19" s="103">
        <v>1.41</v>
      </c>
      <c r="C19" s="103">
        <f t="shared" si="0"/>
        <v>3.98</v>
      </c>
      <c r="D19" s="103"/>
      <c r="E19" s="103">
        <v>10.44</v>
      </c>
      <c r="F19" s="103">
        <f t="shared" si="1"/>
        <v>2.6231155778894473</v>
      </c>
      <c r="G19" s="103">
        <f t="shared" si="2"/>
        <v>0.72399445214979197</v>
      </c>
      <c r="H19" s="103">
        <f t="shared" si="3"/>
        <v>0.48372582146674481</v>
      </c>
      <c r="I19" s="103"/>
      <c r="J19" s="103"/>
      <c r="K19" s="103"/>
      <c r="L19" s="103"/>
      <c r="M19" s="103"/>
      <c r="N19" s="103"/>
    </row>
    <row r="20" spans="1:16" x14ac:dyDescent="0.2">
      <c r="A20" s="33" t="s">
        <v>332</v>
      </c>
      <c r="B20" s="103">
        <v>0.56999999999999995</v>
      </c>
      <c r="C20" s="103">
        <f t="shared" si="0"/>
        <v>5.99</v>
      </c>
      <c r="D20" s="103"/>
      <c r="E20" s="103">
        <v>2.25</v>
      </c>
      <c r="F20" s="103">
        <f t="shared" si="1"/>
        <v>0.37562604340567612</v>
      </c>
      <c r="G20" s="103">
        <f t="shared" si="2"/>
        <v>0.27305825242718446</v>
      </c>
      <c r="H20" s="103">
        <f t="shared" si="3"/>
        <v>0.44733704552898779</v>
      </c>
      <c r="I20" s="103"/>
      <c r="J20" s="103"/>
      <c r="K20" s="103"/>
      <c r="L20" s="103"/>
      <c r="M20" s="103"/>
      <c r="N20" s="103"/>
    </row>
    <row r="21" spans="1:16" x14ac:dyDescent="0.2">
      <c r="A21" s="33" t="s">
        <v>329</v>
      </c>
      <c r="B21" s="103">
        <v>0.73</v>
      </c>
      <c r="C21" s="103">
        <f t="shared" si="0"/>
        <v>2.88</v>
      </c>
      <c r="D21" s="103"/>
      <c r="E21" s="103">
        <v>1.33</v>
      </c>
      <c r="F21" s="103">
        <f t="shared" si="1"/>
        <v>0.46180555555555558</v>
      </c>
      <c r="G21" s="103">
        <f t="shared" si="2"/>
        <v>0.31591448931116389</v>
      </c>
      <c r="H21" s="103">
        <f t="shared" si="3"/>
        <v>0.54595029733309097</v>
      </c>
      <c r="I21" s="103"/>
      <c r="J21" s="103"/>
      <c r="K21" s="103"/>
      <c r="L21" s="103"/>
      <c r="M21" s="103"/>
      <c r="N21" s="103"/>
    </row>
    <row r="22" spans="1:16" x14ac:dyDescent="0.2">
      <c r="B22" s="103"/>
      <c r="C22" s="103"/>
      <c r="D22" s="103"/>
      <c r="E22" s="103"/>
      <c r="F22" s="103"/>
      <c r="G22" s="103"/>
      <c r="H22" s="103"/>
      <c r="I22" s="103"/>
      <c r="J22" s="103" t="s">
        <v>335</v>
      </c>
      <c r="K22" s="103"/>
      <c r="L22" s="103"/>
      <c r="M22" s="103"/>
      <c r="N22" s="103" t="s">
        <v>349</v>
      </c>
      <c r="O22" s="33" t="s">
        <v>346</v>
      </c>
      <c r="P22" s="33" t="s">
        <v>53</v>
      </c>
    </row>
    <row r="23" spans="1:16" x14ac:dyDescent="0.2">
      <c r="A23" s="33" t="s">
        <v>324</v>
      </c>
      <c r="B23" s="103">
        <f>AVERAGE(B15:B21)</f>
        <v>0.88285714285714278</v>
      </c>
      <c r="C23" s="103">
        <f>AVERAGE(C15:C21)</f>
        <v>24.605714285714289</v>
      </c>
      <c r="D23" s="103"/>
      <c r="E23" s="103"/>
      <c r="F23" s="103">
        <f>AVERAGE(F15:F21)</f>
        <v>0.88713791535672404</v>
      </c>
      <c r="G23" s="103">
        <f>AVERAGE(G15:G21)</f>
        <v>0.41336569702131587</v>
      </c>
      <c r="H23" s="103">
        <f>AVERAGE(H15:H21)</f>
        <v>0.54891389217398245</v>
      </c>
      <c r="I23" s="103"/>
      <c r="J23" s="103">
        <f>H23*(1+((1-M15)*G23))</f>
        <v>0.71455247893350515</v>
      </c>
      <c r="K23" s="103"/>
      <c r="L23" s="103"/>
      <c r="M23" s="103"/>
      <c r="N23" s="104">
        <v>0.05</v>
      </c>
      <c r="O23" s="38">
        <v>3.5000000000000003E-2</v>
      </c>
      <c r="P23" s="36" t="s">
        <v>54</v>
      </c>
    </row>
    <row r="24" spans="1:16" x14ac:dyDescent="0.2">
      <c r="A24" s="33" t="s">
        <v>333</v>
      </c>
      <c r="B24" s="103">
        <f>MEDIAN(B15:B21)</f>
        <v>0.8</v>
      </c>
      <c r="C24" s="103">
        <f>MEDIAN(C15:C21)</f>
        <v>8.2200000000000006</v>
      </c>
      <c r="D24" s="103"/>
      <c r="E24" s="103"/>
      <c r="F24" s="103">
        <f>MEDIAN(F15:F21)</f>
        <v>0.64720194647201945</v>
      </c>
      <c r="G24" s="103">
        <f>MEDIAN(G15:G21)</f>
        <v>0.39290989660265879</v>
      </c>
      <c r="H24" s="103">
        <f>MEDIAN(H15:H21)</f>
        <v>0.54595029733309097</v>
      </c>
      <c r="I24" s="103"/>
      <c r="J24" s="103"/>
      <c r="K24" s="103"/>
      <c r="L24" s="103"/>
      <c r="M24" s="103"/>
      <c r="N24" s="103"/>
    </row>
    <row r="28" spans="1:16" x14ac:dyDescent="0.2">
      <c r="A28" s="35" t="s">
        <v>338</v>
      </c>
      <c r="C28" s="33" t="s">
        <v>345</v>
      </c>
    </row>
    <row r="29" spans="1:16" x14ac:dyDescent="0.2">
      <c r="A29" s="34">
        <f>O23+(J23*N23)</f>
        <v>7.0727623946675255E-2</v>
      </c>
      <c r="C29" s="37">
        <f>1-G23</f>
        <v>0.58663430297868413</v>
      </c>
      <c r="D29" s="68"/>
    </row>
    <row r="31" spans="1:16" x14ac:dyDescent="0.2">
      <c r="A31" s="35" t="s">
        <v>339</v>
      </c>
      <c r="B31" s="33" t="s">
        <v>53</v>
      </c>
    </row>
    <row r="32" spans="1:16" x14ac:dyDescent="0.2">
      <c r="A32" s="34">
        <v>5.0200000000000002E-2</v>
      </c>
      <c r="B32" s="36" t="s">
        <v>52</v>
      </c>
    </row>
    <row r="34" spans="1:8" x14ac:dyDescent="0.2">
      <c r="A34" s="35" t="s">
        <v>340</v>
      </c>
    </row>
    <row r="35" spans="1:8" x14ac:dyDescent="0.2">
      <c r="A35" s="34">
        <f>(A29*C29)+((1-M15)*A32*G23)</f>
        <v>5.6639449708339472E-2</v>
      </c>
    </row>
    <row r="36" spans="1:8" s="78" customFormat="1" x14ac:dyDescent="0.2">
      <c r="A36" s="79"/>
    </row>
    <row r="37" spans="1:8" s="78" customFormat="1" x14ac:dyDescent="0.2">
      <c r="A37" s="73" t="s">
        <v>341</v>
      </c>
      <c r="B37" s="78">
        <v>2019</v>
      </c>
      <c r="C37" s="78">
        <v>2020</v>
      </c>
      <c r="E37" s="78">
        <v>2021</v>
      </c>
      <c r="F37" s="78">
        <v>2022</v>
      </c>
      <c r="G37" s="78">
        <v>2023</v>
      </c>
      <c r="H37" s="73"/>
    </row>
    <row r="38" spans="1:8" x14ac:dyDescent="0.2">
      <c r="A38" s="80" t="s">
        <v>342</v>
      </c>
      <c r="B38" s="78">
        <v>207</v>
      </c>
      <c r="C38" s="78">
        <v>202</v>
      </c>
      <c r="E38" s="78">
        <v>197</v>
      </c>
      <c r="F38" s="78">
        <v>197</v>
      </c>
      <c r="G38" s="78">
        <v>195</v>
      </c>
    </row>
    <row r="39" spans="1:8" x14ac:dyDescent="0.2">
      <c r="A39" s="88" t="s">
        <v>343</v>
      </c>
      <c r="B39" s="78">
        <v>199.6</v>
      </c>
      <c r="C39" s="78"/>
      <c r="E39" s="78"/>
      <c r="F39" s="78"/>
      <c r="G39" s="78"/>
      <c r="H39" s="78"/>
    </row>
    <row r="40" spans="1:8" s="78" customFormat="1" x14ac:dyDescent="0.2">
      <c r="A40" s="79"/>
    </row>
    <row r="41" spans="1:8" x14ac:dyDescent="0.2">
      <c r="A41" s="80" t="s">
        <v>344</v>
      </c>
    </row>
    <row r="42" spans="1:8" x14ac:dyDescent="0.2">
      <c r="A42" s="87">
        <v>2789.8377142857144</v>
      </c>
      <c r="B42" s="78"/>
    </row>
  </sheetData>
  <hyperlinks>
    <hyperlink ref="H3" r:id="rId1" xr:uid="{DAAD438A-1201-4479-B141-AD972E94AD62}"/>
    <hyperlink ref="H5" r:id="rId2" xr:uid="{66D9F50E-D5BD-4349-97AC-271AF4F15619}"/>
    <hyperlink ref="H4" r:id="rId3" xr:uid="{B494F175-CC2F-4210-A7CE-35C904462BDB}"/>
    <hyperlink ref="H6" r:id="rId4" xr:uid="{6670D6D5-EB76-470A-B1E4-31EEDDABA67E}"/>
    <hyperlink ref="H8" r:id="rId5" xr:uid="{800F4E24-BB41-4E65-AE23-1728BC1F10E4}"/>
    <hyperlink ref="H9" r:id="rId6" xr:uid="{47BC2CEA-5100-4C4D-B8AA-73D84F7082A0}"/>
    <hyperlink ref="H7" r:id="rId7" xr:uid="{6CB03160-0A60-42BA-AD27-09677DCA4575}"/>
    <hyperlink ref="P23" r:id="rId8" xr:uid="{EC482432-2022-4524-9369-0C4202FFB1EB}"/>
    <hyperlink ref="B32" r:id="rId9" xr:uid="{EFDE7872-744C-4556-9421-7CD2347E4112}"/>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B74E-2705-4B77-9AB2-BBC9B16EB5BC}">
  <sheetPr codeName="Sheet21"/>
  <dimension ref="A1:L20"/>
  <sheetViews>
    <sheetView topLeftCell="B1" zoomScale="80" zoomScaleNormal="80" workbookViewId="0">
      <selection activeCell="D2" sqref="D2"/>
    </sheetView>
  </sheetViews>
  <sheetFormatPr defaultColWidth="9" defaultRowHeight="15" x14ac:dyDescent="0.25"/>
  <cols>
    <col min="1" max="1" width="135.42578125" style="43" customWidth="1"/>
    <col min="2" max="2" width="34" style="43" customWidth="1"/>
    <col min="3" max="3" width="28.85546875" style="43" customWidth="1"/>
    <col min="4" max="4" width="163.5703125" style="43" customWidth="1"/>
    <col min="5" max="16384" width="9" style="43"/>
  </cols>
  <sheetData>
    <row r="1" spans="1:4" x14ac:dyDescent="0.25">
      <c r="A1" s="44" t="s">
        <v>82</v>
      </c>
      <c r="B1" s="44" t="s">
        <v>290</v>
      </c>
      <c r="C1" s="44" t="s">
        <v>299</v>
      </c>
      <c r="D1" s="44" t="s">
        <v>68</v>
      </c>
    </row>
    <row r="2" spans="1:4" x14ac:dyDescent="0.25">
      <c r="A2" s="43" t="s">
        <v>81</v>
      </c>
      <c r="B2" s="96" t="s">
        <v>291</v>
      </c>
      <c r="C2" s="91" t="s">
        <v>298</v>
      </c>
      <c r="D2" s="91" t="s">
        <v>300</v>
      </c>
    </row>
    <row r="3" spans="1:4" x14ac:dyDescent="0.25">
      <c r="A3" s="43" t="s">
        <v>80</v>
      </c>
      <c r="B3" s="96" t="s">
        <v>292</v>
      </c>
      <c r="C3" s="96" t="s">
        <v>297</v>
      </c>
      <c r="D3" s="43" t="s">
        <v>79</v>
      </c>
    </row>
    <row r="4" spans="1:4" x14ac:dyDescent="0.25">
      <c r="A4" s="43" t="s">
        <v>78</v>
      </c>
      <c r="B4" s="96" t="s">
        <v>293</v>
      </c>
      <c r="C4" s="96" t="s">
        <v>296</v>
      </c>
      <c r="D4" s="61" t="s">
        <v>77</v>
      </c>
    </row>
    <row r="5" spans="1:4" x14ac:dyDescent="0.25">
      <c r="A5" s="43" t="s">
        <v>76</v>
      </c>
      <c r="B5" s="96" t="s">
        <v>294</v>
      </c>
      <c r="C5" s="96" t="s">
        <v>296</v>
      </c>
      <c r="D5" s="43" t="s">
        <v>75</v>
      </c>
    </row>
    <row r="6" spans="1:4" x14ac:dyDescent="0.25">
      <c r="A6" s="43" t="s">
        <v>74</v>
      </c>
      <c r="B6" s="60" t="s">
        <v>277</v>
      </c>
      <c r="C6" s="96" t="s">
        <v>295</v>
      </c>
      <c r="D6" s="61" t="s">
        <v>73</v>
      </c>
    </row>
    <row r="20" spans="6:12" x14ac:dyDescent="0.25">
      <c r="F20" s="59"/>
      <c r="G20" s="59"/>
      <c r="H20" s="59"/>
      <c r="I20" s="59"/>
      <c r="J20" s="59"/>
      <c r="K20" s="59"/>
      <c r="L20" s="59"/>
    </row>
  </sheetData>
  <hyperlinks>
    <hyperlink ref="D6" r:id="rId1" xr:uid="{695E0AA0-7CE9-4F70-9BC1-E2A6BC3E7B05}"/>
    <hyperlink ref="D4" r:id="rId2" xr:uid="{62298BF8-F092-411D-8CEE-81F44C8D6A55}"/>
  </hyperlinks>
  <pageMargins left="0.7" right="0.7" top="0.75" bottom="0.75" header="0.3" footer="0.3"/>
  <pageSetup orientation="portrait" verticalDpi="0"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30EA-B3AF-4A35-9C7B-450F13B964C3}">
  <sheetPr codeName="Sheet22"/>
  <dimension ref="A1:R41"/>
  <sheetViews>
    <sheetView workbookViewId="0">
      <selection activeCell="D20" sqref="D20"/>
    </sheetView>
  </sheetViews>
  <sheetFormatPr defaultColWidth="9.140625" defaultRowHeight="12.75" x14ac:dyDescent="0.2"/>
  <cols>
    <col min="1" max="1" width="48.5703125" bestFit="1" customWidth="1"/>
    <col min="4" max="4" width="9.140625" style="73"/>
  </cols>
  <sheetData>
    <row r="1" spans="1:18" x14ac:dyDescent="0.2">
      <c r="A1" s="66" t="s">
        <v>319</v>
      </c>
      <c r="B1" s="63"/>
      <c r="C1" s="63"/>
      <c r="E1" s="63"/>
      <c r="F1" s="63"/>
      <c r="G1" s="63"/>
      <c r="H1" s="63"/>
      <c r="I1" s="63"/>
      <c r="J1" s="63"/>
      <c r="K1" s="63"/>
      <c r="L1" s="63"/>
      <c r="M1" s="63"/>
    </row>
    <row r="2" spans="1:18" x14ac:dyDescent="0.2">
      <c r="A2" s="63"/>
      <c r="B2" s="64" t="s">
        <v>320</v>
      </c>
      <c r="C2" s="64" t="s">
        <v>321</v>
      </c>
      <c r="D2" s="78" t="s">
        <v>477</v>
      </c>
      <c r="E2" s="64" t="s">
        <v>322</v>
      </c>
      <c r="F2" s="63"/>
      <c r="G2" s="64" t="s">
        <v>323</v>
      </c>
      <c r="H2" s="64" t="s">
        <v>53</v>
      </c>
      <c r="I2" s="63"/>
      <c r="J2" s="63"/>
      <c r="K2" s="63"/>
      <c r="L2" s="63"/>
      <c r="M2" s="63"/>
    </row>
    <row r="3" spans="1:18" x14ac:dyDescent="0.2">
      <c r="A3" s="64" t="s">
        <v>32</v>
      </c>
      <c r="B3" s="64">
        <v>97.98</v>
      </c>
      <c r="C3" s="64">
        <v>165.75</v>
      </c>
      <c r="D3" s="105">
        <v>10.391849529780565</v>
      </c>
      <c r="E3" s="69">
        <v>15.95</v>
      </c>
      <c r="F3" s="63"/>
      <c r="G3" s="72">
        <v>43486</v>
      </c>
      <c r="H3" s="67" t="s">
        <v>63</v>
      </c>
      <c r="I3" s="63"/>
      <c r="J3" s="63"/>
      <c r="K3" s="63"/>
      <c r="L3" s="63"/>
      <c r="M3" s="63"/>
    </row>
    <row r="4" spans="1:18" x14ac:dyDescent="0.2">
      <c r="A4" s="64" t="s">
        <v>56</v>
      </c>
      <c r="B4" s="64">
        <v>50.77</v>
      </c>
      <c r="C4" s="64">
        <v>102.72</v>
      </c>
      <c r="D4" s="105">
        <v>7.4059120403749104</v>
      </c>
      <c r="E4" s="64">
        <v>13.87</v>
      </c>
      <c r="F4" s="63"/>
      <c r="G4" s="72">
        <v>43486</v>
      </c>
      <c r="H4" s="67" t="s">
        <v>62</v>
      </c>
      <c r="I4" s="63"/>
      <c r="J4" s="63"/>
      <c r="K4" s="63"/>
      <c r="L4" s="63"/>
      <c r="M4" s="63"/>
    </row>
    <row r="5" spans="1:18" x14ac:dyDescent="0.2">
      <c r="A5" s="64" t="s">
        <v>331</v>
      </c>
      <c r="B5" s="64">
        <v>22.88</v>
      </c>
      <c r="C5" s="64">
        <v>32.78</v>
      </c>
      <c r="D5" s="105">
        <v>2</v>
      </c>
      <c r="E5" s="69">
        <v>16.39</v>
      </c>
      <c r="F5" s="63"/>
      <c r="G5" s="72">
        <v>43486</v>
      </c>
      <c r="H5" s="67" t="s">
        <v>61</v>
      </c>
      <c r="I5" s="63"/>
      <c r="J5" s="63"/>
      <c r="K5" s="63"/>
      <c r="L5" s="63"/>
      <c r="M5" s="63"/>
    </row>
    <row r="6" spans="1:18" x14ac:dyDescent="0.2">
      <c r="A6" s="64" t="s">
        <v>330</v>
      </c>
      <c r="B6" s="64">
        <v>8.61</v>
      </c>
      <c r="C6" s="64">
        <v>13.64</v>
      </c>
      <c r="D6" s="105">
        <v>1.2525252525252526</v>
      </c>
      <c r="E6" s="69">
        <v>10.89</v>
      </c>
      <c r="F6" s="63"/>
      <c r="G6" s="72">
        <v>43486</v>
      </c>
      <c r="H6" s="67" t="s">
        <v>60</v>
      </c>
      <c r="I6" s="63"/>
      <c r="J6" s="63"/>
      <c r="K6" s="63"/>
      <c r="L6" s="63"/>
      <c r="M6" s="63"/>
    </row>
    <row r="7" spans="1:18" x14ac:dyDescent="0.2">
      <c r="A7" s="64" t="s">
        <v>55</v>
      </c>
      <c r="B7" s="64">
        <v>3.87</v>
      </c>
      <c r="C7" s="64">
        <v>16.079999999999998</v>
      </c>
      <c r="D7" s="105">
        <v>0.77344877344877339</v>
      </c>
      <c r="E7" s="69">
        <v>20.79</v>
      </c>
      <c r="F7" s="63"/>
      <c r="G7" s="72">
        <v>43486</v>
      </c>
      <c r="H7" s="67" t="s">
        <v>59</v>
      </c>
      <c r="I7" s="63"/>
      <c r="J7" s="63"/>
      <c r="K7" s="63"/>
      <c r="L7" s="63"/>
      <c r="M7" s="63"/>
    </row>
    <row r="8" spans="1:18" x14ac:dyDescent="0.2">
      <c r="A8" s="64" t="s">
        <v>332</v>
      </c>
      <c r="B8" s="64">
        <v>5.97</v>
      </c>
      <c r="C8" s="64">
        <v>8.14</v>
      </c>
      <c r="D8" s="105">
        <v>0.76864966949952795</v>
      </c>
      <c r="E8" s="69">
        <v>10.59</v>
      </c>
      <c r="F8" s="63"/>
      <c r="G8" s="72">
        <v>43486</v>
      </c>
      <c r="H8" s="67" t="s">
        <v>58</v>
      </c>
      <c r="I8" s="63"/>
      <c r="J8" s="63"/>
      <c r="K8" s="63"/>
      <c r="L8" s="63"/>
      <c r="M8" s="63"/>
    </row>
    <row r="9" spans="1:18" x14ac:dyDescent="0.2">
      <c r="A9" s="64" t="s">
        <v>329</v>
      </c>
      <c r="B9" s="64">
        <v>2.89</v>
      </c>
      <c r="C9" s="64">
        <v>4.18</v>
      </c>
      <c r="D9" s="105">
        <v>0.37056737588652483</v>
      </c>
      <c r="E9" s="64">
        <v>11.28</v>
      </c>
      <c r="F9" s="63"/>
      <c r="G9" s="72">
        <v>43486</v>
      </c>
      <c r="H9" s="67" t="s">
        <v>57</v>
      </c>
      <c r="I9" s="63"/>
      <c r="J9" s="63"/>
      <c r="K9" s="63"/>
      <c r="L9" s="63"/>
      <c r="M9" s="63"/>
    </row>
    <row r="11" spans="1:18" x14ac:dyDescent="0.2">
      <c r="A11" s="71" t="s">
        <v>324</v>
      </c>
      <c r="B11" s="63"/>
      <c r="C11" s="63"/>
      <c r="E11" s="70">
        <v>14.251428571428573</v>
      </c>
      <c r="F11" s="63"/>
      <c r="G11" s="63"/>
      <c r="H11" s="63"/>
      <c r="I11" s="63"/>
      <c r="J11" s="63"/>
      <c r="K11" s="63"/>
      <c r="L11" s="63"/>
      <c r="M11" s="63"/>
    </row>
    <row r="14" spans="1:18" x14ac:dyDescent="0.2">
      <c r="A14" s="63"/>
      <c r="B14" s="103" t="s">
        <v>347</v>
      </c>
      <c r="C14" s="103" t="s">
        <v>334</v>
      </c>
      <c r="D14" s="103" t="s">
        <v>325</v>
      </c>
      <c r="E14" s="103" t="s">
        <v>336</v>
      </c>
      <c r="F14" s="103" t="s">
        <v>337</v>
      </c>
      <c r="G14" s="103" t="s">
        <v>327</v>
      </c>
      <c r="H14" s="106"/>
      <c r="I14" s="106"/>
      <c r="J14" s="106"/>
      <c r="K14" s="106"/>
      <c r="L14" s="103" t="s">
        <v>328</v>
      </c>
      <c r="M14" s="106"/>
      <c r="N14" s="106"/>
      <c r="O14" s="106"/>
      <c r="P14" s="106"/>
      <c r="Q14" s="106"/>
      <c r="R14" s="106"/>
    </row>
    <row r="15" spans="1:18" x14ac:dyDescent="0.2">
      <c r="A15" s="64" t="s">
        <v>32</v>
      </c>
      <c r="B15" s="107">
        <v>0.81</v>
      </c>
      <c r="C15" s="103">
        <v>97.98</v>
      </c>
      <c r="D15" s="103">
        <v>63.72</v>
      </c>
      <c r="E15" s="103">
        <v>0.65033680342927125</v>
      </c>
      <c r="F15" s="103">
        <v>0.39406307977736549</v>
      </c>
      <c r="G15" s="103">
        <v>0.54924717430842196</v>
      </c>
      <c r="H15" s="106"/>
      <c r="I15" s="106"/>
      <c r="J15" s="106"/>
      <c r="K15" s="106"/>
      <c r="L15" s="103">
        <v>0.27</v>
      </c>
      <c r="M15" s="106"/>
      <c r="N15" s="106"/>
      <c r="O15" s="106"/>
      <c r="P15" s="106"/>
      <c r="Q15" s="106"/>
      <c r="R15" s="106"/>
    </row>
    <row r="16" spans="1:18" x14ac:dyDescent="0.2">
      <c r="A16" s="64" t="s">
        <v>56</v>
      </c>
      <c r="B16" s="103">
        <v>0.92</v>
      </c>
      <c r="C16" s="103">
        <v>50.77</v>
      </c>
      <c r="D16" s="103">
        <v>47.64</v>
      </c>
      <c r="E16" s="103">
        <v>0.93834941894819768</v>
      </c>
      <c r="F16" s="103">
        <v>0.48409714459912612</v>
      </c>
      <c r="G16" s="103">
        <v>0.54599566087493223</v>
      </c>
      <c r="H16" s="106"/>
      <c r="I16" s="106"/>
      <c r="J16" s="106"/>
      <c r="K16" s="106"/>
      <c r="L16" s="106"/>
      <c r="M16" s="106"/>
      <c r="N16" s="106"/>
      <c r="O16" s="106"/>
      <c r="P16" s="106"/>
      <c r="Q16" s="106"/>
      <c r="R16" s="106"/>
    </row>
    <row r="17" spans="1:18" x14ac:dyDescent="0.2">
      <c r="A17" s="64" t="s">
        <v>331</v>
      </c>
      <c r="B17" s="103">
        <v>1</v>
      </c>
      <c r="C17" s="103">
        <v>22.88</v>
      </c>
      <c r="D17" s="103">
        <v>7.56</v>
      </c>
      <c r="E17" s="103">
        <v>0.33041958041958042</v>
      </c>
      <c r="F17" s="103">
        <v>0.24835742444152431</v>
      </c>
      <c r="G17" s="103">
        <v>0.80566784512021627</v>
      </c>
      <c r="H17" s="106"/>
      <c r="I17" s="106"/>
      <c r="J17" s="106"/>
      <c r="K17" s="106"/>
      <c r="L17" s="106"/>
      <c r="M17" s="106"/>
      <c r="N17" s="106"/>
      <c r="O17" s="106"/>
      <c r="P17" s="106"/>
      <c r="Q17" s="106"/>
      <c r="R17" s="106"/>
    </row>
    <row r="18" spans="1:18" x14ac:dyDescent="0.2">
      <c r="A18" s="64" t="s">
        <v>330</v>
      </c>
      <c r="B18" s="103">
        <v>1.29</v>
      </c>
      <c r="C18" s="103">
        <v>8.61</v>
      </c>
      <c r="D18" s="103">
        <v>5.32</v>
      </c>
      <c r="E18" s="103">
        <v>0.61788617886178865</v>
      </c>
      <c r="F18" s="103">
        <v>0.38190954773869351</v>
      </c>
      <c r="G18" s="103">
        <v>0.88900717167189602</v>
      </c>
      <c r="H18" s="106"/>
      <c r="I18" s="106"/>
      <c r="J18" s="106"/>
      <c r="K18" s="106"/>
      <c r="L18" s="106"/>
      <c r="M18" s="106"/>
      <c r="N18" s="106"/>
      <c r="O18" s="106"/>
      <c r="P18" s="106"/>
      <c r="Q18" s="106"/>
      <c r="R18" s="106"/>
    </row>
    <row r="19" spans="1:18" x14ac:dyDescent="0.2">
      <c r="A19" s="64" t="s">
        <v>55</v>
      </c>
      <c r="B19" s="103">
        <v>1.25</v>
      </c>
      <c r="C19" s="103">
        <v>3.87</v>
      </c>
      <c r="D19" s="103">
        <v>10.44</v>
      </c>
      <c r="E19" s="103">
        <v>2.6976744186046511</v>
      </c>
      <c r="F19" s="103">
        <v>0.72955974842767302</v>
      </c>
      <c r="G19" s="103">
        <v>0.42097431077694231</v>
      </c>
      <c r="H19" s="106"/>
      <c r="I19" s="106"/>
      <c r="J19" s="106"/>
      <c r="K19" s="106"/>
      <c r="L19" s="106"/>
      <c r="M19" s="106"/>
      <c r="N19" s="106"/>
      <c r="O19" s="106"/>
      <c r="P19" s="106"/>
      <c r="Q19" s="106"/>
      <c r="R19" s="106"/>
    </row>
    <row r="20" spans="1:18" x14ac:dyDescent="0.2">
      <c r="A20" s="64" t="s">
        <v>332</v>
      </c>
      <c r="B20" s="103">
        <v>0.88</v>
      </c>
      <c r="C20" s="103">
        <v>5.97</v>
      </c>
      <c r="D20" s="103">
        <v>2.25</v>
      </c>
      <c r="E20" s="103">
        <v>0.37688442211055279</v>
      </c>
      <c r="F20" s="103">
        <v>0.27372262773722633</v>
      </c>
      <c r="G20" s="103">
        <v>0.69012807881773397</v>
      </c>
      <c r="H20" s="106"/>
      <c r="I20" s="106"/>
      <c r="J20" s="106"/>
      <c r="K20" s="106"/>
      <c r="L20" s="106"/>
      <c r="M20" s="106"/>
      <c r="N20" s="106"/>
      <c r="O20" s="106"/>
      <c r="P20" s="106"/>
      <c r="Q20" s="106"/>
      <c r="R20" s="106"/>
    </row>
    <row r="21" spans="1:18" x14ac:dyDescent="0.2">
      <c r="A21" s="64" t="s">
        <v>329</v>
      </c>
      <c r="B21" s="103">
        <v>0.73</v>
      </c>
      <c r="C21" s="103">
        <v>2.89</v>
      </c>
      <c r="D21" s="103">
        <v>1.33</v>
      </c>
      <c r="E21" s="103">
        <v>0.46020761245674741</v>
      </c>
      <c r="F21" s="103">
        <v>0.31516587677725116</v>
      </c>
      <c r="G21" s="103">
        <v>0.54642699888627</v>
      </c>
      <c r="H21" s="106"/>
      <c r="I21" s="106"/>
      <c r="J21" s="106"/>
      <c r="K21" s="106"/>
      <c r="L21" s="106"/>
      <c r="M21" s="106"/>
      <c r="N21" s="106"/>
      <c r="O21" s="106"/>
      <c r="P21" s="106"/>
      <c r="Q21" s="106"/>
      <c r="R21" s="106"/>
    </row>
    <row r="22" spans="1:18" x14ac:dyDescent="0.2">
      <c r="A22" s="63"/>
      <c r="B22" s="106"/>
      <c r="C22" s="106"/>
      <c r="D22" s="106"/>
      <c r="E22" s="106"/>
      <c r="F22" s="106"/>
      <c r="G22" s="106"/>
      <c r="H22" s="106"/>
      <c r="I22" s="103" t="s">
        <v>335</v>
      </c>
      <c r="J22" s="106"/>
      <c r="K22" s="106"/>
      <c r="L22" s="106"/>
      <c r="M22" s="103" t="s">
        <v>349</v>
      </c>
      <c r="N22" s="103" t="s">
        <v>346</v>
      </c>
      <c r="O22" s="103" t="s">
        <v>53</v>
      </c>
      <c r="P22" s="106"/>
      <c r="Q22" s="106"/>
      <c r="R22" s="106"/>
    </row>
    <row r="23" spans="1:18" x14ac:dyDescent="0.2">
      <c r="A23" s="64" t="s">
        <v>324</v>
      </c>
      <c r="B23" s="103">
        <v>0.98285714285714276</v>
      </c>
      <c r="C23" s="103">
        <v>27.567142857142859</v>
      </c>
      <c r="D23" s="106"/>
      <c r="E23" s="103">
        <v>0.86739406211868419</v>
      </c>
      <c r="F23" s="103">
        <v>0.40383934992840859</v>
      </c>
      <c r="G23" s="103">
        <v>0.63534960577948751</v>
      </c>
      <c r="H23" s="106"/>
      <c r="I23" s="103">
        <v>0.8226524011754266</v>
      </c>
      <c r="J23" s="106"/>
      <c r="K23" s="106"/>
      <c r="L23" s="106"/>
      <c r="M23" s="104">
        <v>0.05</v>
      </c>
      <c r="N23" s="104">
        <v>3.5000000000000003E-2</v>
      </c>
      <c r="O23" s="108" t="s">
        <v>54</v>
      </c>
      <c r="P23" s="106"/>
      <c r="Q23" s="106"/>
      <c r="R23" s="106"/>
    </row>
    <row r="24" spans="1:18" x14ac:dyDescent="0.2">
      <c r="A24" s="64" t="s">
        <v>348</v>
      </c>
      <c r="B24" s="103">
        <v>0.92</v>
      </c>
      <c r="C24" s="103">
        <v>8.61</v>
      </c>
      <c r="D24" s="106"/>
      <c r="E24" s="103">
        <v>0.61788617886178865</v>
      </c>
      <c r="F24" s="103">
        <v>0.38190954773869351</v>
      </c>
      <c r="G24" s="103">
        <v>0.54924717430842196</v>
      </c>
      <c r="H24" s="106"/>
      <c r="I24" s="106"/>
      <c r="J24" s="106"/>
      <c r="K24" s="106"/>
      <c r="L24" s="106"/>
      <c r="M24" s="106"/>
      <c r="N24" s="106"/>
      <c r="O24" s="106"/>
      <c r="P24" s="106"/>
      <c r="Q24" s="106"/>
      <c r="R24" s="106"/>
    </row>
    <row r="25" spans="1:18" x14ac:dyDescent="0.2">
      <c r="A25" s="63"/>
      <c r="B25" s="106"/>
      <c r="C25" s="106"/>
      <c r="D25" s="106"/>
      <c r="E25" s="106"/>
      <c r="F25" s="106"/>
      <c r="G25" s="106"/>
      <c r="H25" s="106"/>
      <c r="I25" s="106"/>
      <c r="J25" s="106"/>
      <c r="K25" s="106"/>
      <c r="L25" s="106"/>
      <c r="M25" s="103"/>
      <c r="N25" s="106"/>
      <c r="O25" s="106"/>
      <c r="P25" s="106"/>
      <c r="Q25" s="106"/>
      <c r="R25" s="106"/>
    </row>
    <row r="26" spans="1:18" x14ac:dyDescent="0.2">
      <c r="B26" s="106"/>
      <c r="C26" s="106"/>
      <c r="D26" s="106"/>
      <c r="E26" s="106"/>
      <c r="F26" s="106"/>
      <c r="G26" s="106"/>
      <c r="H26" s="106"/>
      <c r="I26" s="106"/>
      <c r="J26" s="106"/>
      <c r="K26" s="106"/>
      <c r="L26" s="106"/>
      <c r="M26" s="106"/>
      <c r="N26" s="106"/>
      <c r="O26" s="106"/>
      <c r="P26" s="106"/>
      <c r="Q26" s="106"/>
      <c r="R26" s="106"/>
    </row>
    <row r="27" spans="1:18" x14ac:dyDescent="0.2">
      <c r="B27" s="106"/>
      <c r="C27" s="106"/>
      <c r="D27" s="106"/>
      <c r="E27" s="106"/>
      <c r="F27" s="106"/>
      <c r="G27" s="106"/>
      <c r="H27" s="106"/>
      <c r="I27" s="106"/>
      <c r="J27" s="106"/>
      <c r="K27" s="106"/>
      <c r="L27" s="106"/>
      <c r="M27" s="106"/>
      <c r="N27" s="106"/>
      <c r="O27" s="106"/>
      <c r="P27" s="106"/>
      <c r="Q27" s="106"/>
      <c r="R27" s="106"/>
    </row>
    <row r="28" spans="1:18" x14ac:dyDescent="0.2">
      <c r="A28" s="66" t="s">
        <v>338</v>
      </c>
      <c r="B28" s="106"/>
      <c r="C28" s="103" t="s">
        <v>345</v>
      </c>
      <c r="D28" s="106"/>
      <c r="E28" s="106"/>
      <c r="F28" s="106"/>
      <c r="G28" s="106"/>
      <c r="H28" s="106"/>
      <c r="I28" s="106"/>
      <c r="J28" s="106"/>
      <c r="K28" s="106"/>
      <c r="L28" s="106"/>
      <c r="M28" s="106"/>
      <c r="N28" s="106"/>
      <c r="O28" s="106"/>
      <c r="P28" s="106"/>
      <c r="Q28" s="106"/>
      <c r="R28" s="106"/>
    </row>
    <row r="29" spans="1:18" x14ac:dyDescent="0.2">
      <c r="A29" s="65">
        <v>7.6132620058771333E-2</v>
      </c>
      <c r="B29" s="106"/>
      <c r="C29" s="109">
        <v>0.59616065007159147</v>
      </c>
      <c r="D29" s="106"/>
      <c r="E29" s="106"/>
      <c r="F29" s="106"/>
      <c r="G29" s="106"/>
      <c r="H29" s="106"/>
      <c r="I29" s="106"/>
      <c r="J29" s="106"/>
      <c r="K29" s="106"/>
      <c r="L29" s="103"/>
      <c r="M29" s="106"/>
      <c r="N29" s="106"/>
      <c r="O29" s="106"/>
      <c r="P29" s="106"/>
      <c r="Q29" s="106"/>
      <c r="R29" s="106"/>
    </row>
    <row r="30" spans="1:18" x14ac:dyDescent="0.2">
      <c r="B30" s="106"/>
      <c r="C30" s="106"/>
      <c r="D30" s="106"/>
      <c r="E30" s="106"/>
      <c r="F30" s="106"/>
      <c r="G30" s="106"/>
      <c r="H30" s="106"/>
      <c r="I30" s="106"/>
      <c r="J30" s="106"/>
      <c r="K30" s="106"/>
      <c r="L30" s="106"/>
      <c r="M30" s="106"/>
      <c r="N30" s="106"/>
      <c r="O30" s="106"/>
      <c r="P30" s="106"/>
      <c r="Q30" s="106"/>
      <c r="R30" s="106"/>
    </row>
    <row r="31" spans="1:18" x14ac:dyDescent="0.2">
      <c r="A31" s="66" t="s">
        <v>339</v>
      </c>
      <c r="B31" s="103" t="s">
        <v>53</v>
      </c>
      <c r="C31" s="106"/>
      <c r="D31" s="106"/>
      <c r="E31" s="106"/>
      <c r="F31" s="106"/>
      <c r="G31" s="106"/>
      <c r="H31" s="106"/>
      <c r="I31" s="106"/>
      <c r="J31" s="106"/>
      <c r="K31" s="106"/>
      <c r="L31" s="106"/>
      <c r="M31" s="106"/>
      <c r="N31" s="106"/>
      <c r="O31" s="106"/>
      <c r="P31" s="106"/>
      <c r="Q31" s="106"/>
      <c r="R31" s="106"/>
    </row>
    <row r="32" spans="1:18" x14ac:dyDescent="0.2">
      <c r="A32" s="65">
        <v>5.0200000000000002E-2</v>
      </c>
      <c r="B32" s="108" t="s">
        <v>52</v>
      </c>
      <c r="C32" s="106"/>
      <c r="D32" s="106"/>
      <c r="E32" s="106"/>
      <c r="F32" s="106"/>
      <c r="G32" s="106"/>
      <c r="H32" s="106"/>
      <c r="I32" s="106"/>
      <c r="J32" s="106"/>
      <c r="K32" s="106"/>
      <c r="L32" s="106"/>
      <c r="M32" s="106"/>
      <c r="N32" s="106"/>
      <c r="O32" s="106"/>
      <c r="P32" s="106"/>
      <c r="Q32" s="106"/>
      <c r="R32" s="106"/>
    </row>
    <row r="33" spans="1:18" x14ac:dyDescent="0.2">
      <c r="B33" s="106"/>
      <c r="C33" s="106"/>
      <c r="D33" s="106"/>
      <c r="E33" s="106"/>
      <c r="F33" s="106"/>
      <c r="G33" s="106"/>
      <c r="H33" s="106"/>
      <c r="I33" s="106"/>
      <c r="J33" s="106"/>
      <c r="K33" s="106"/>
      <c r="L33" s="106"/>
      <c r="M33" s="106"/>
      <c r="N33" s="106"/>
      <c r="O33" s="106"/>
      <c r="P33" s="106"/>
      <c r="Q33" s="106"/>
      <c r="R33" s="106"/>
    </row>
    <row r="34" spans="1:18" x14ac:dyDescent="0.2">
      <c r="A34" s="66" t="s">
        <v>340</v>
      </c>
      <c r="B34" s="106"/>
      <c r="C34" s="106"/>
      <c r="D34" s="106"/>
      <c r="E34" s="106"/>
      <c r="F34" s="106"/>
      <c r="G34" s="106"/>
      <c r="H34" s="106"/>
      <c r="I34" s="106"/>
      <c r="J34" s="106"/>
      <c r="K34" s="106"/>
      <c r="L34" s="106"/>
      <c r="M34" s="106"/>
      <c r="N34" s="106"/>
      <c r="O34" s="106"/>
      <c r="P34" s="106"/>
      <c r="Q34" s="106"/>
      <c r="R34" s="106"/>
    </row>
    <row r="35" spans="1:18" x14ac:dyDescent="0.2">
      <c r="A35" s="65">
        <v>6.018636908336706E-2</v>
      </c>
      <c r="B35" s="106"/>
      <c r="C35" s="106"/>
      <c r="D35" s="106"/>
      <c r="E35" s="106"/>
      <c r="F35" s="106"/>
      <c r="G35" s="106"/>
      <c r="H35" s="106"/>
      <c r="I35" s="106"/>
      <c r="J35" s="106"/>
      <c r="K35" s="106"/>
      <c r="L35" s="106"/>
      <c r="M35" s="106"/>
      <c r="N35" s="106"/>
      <c r="O35" s="106"/>
      <c r="P35" s="106"/>
      <c r="Q35" s="106"/>
      <c r="R35" s="106"/>
    </row>
    <row r="36" spans="1:18" s="73" customFormat="1" x14ac:dyDescent="0.2">
      <c r="A36" s="79"/>
      <c r="B36" s="106"/>
      <c r="C36" s="106"/>
      <c r="D36" s="106"/>
      <c r="E36" s="106"/>
      <c r="F36" s="106"/>
      <c r="G36" s="106"/>
      <c r="H36" s="106"/>
      <c r="I36" s="106"/>
      <c r="J36" s="106"/>
      <c r="K36" s="106"/>
      <c r="L36" s="106"/>
      <c r="M36" s="106"/>
      <c r="N36" s="106"/>
      <c r="O36" s="106"/>
      <c r="P36" s="106"/>
      <c r="Q36" s="106"/>
      <c r="R36" s="106"/>
    </row>
    <row r="37" spans="1:18" x14ac:dyDescent="0.2">
      <c r="A37" s="73" t="s">
        <v>341</v>
      </c>
      <c r="B37" s="103">
        <v>2019</v>
      </c>
      <c r="C37" s="103">
        <v>2020</v>
      </c>
      <c r="D37" s="103">
        <v>2021</v>
      </c>
      <c r="E37" s="103">
        <v>2022</v>
      </c>
      <c r="F37" s="103">
        <v>2023</v>
      </c>
      <c r="G37" s="106"/>
      <c r="H37" s="106"/>
      <c r="I37" s="106"/>
      <c r="J37" s="106"/>
      <c r="K37" s="106"/>
      <c r="L37" s="106"/>
      <c r="M37" s="106"/>
      <c r="N37" s="106"/>
      <c r="O37" s="106"/>
      <c r="P37" s="106"/>
      <c r="Q37" s="106"/>
      <c r="R37" s="106"/>
    </row>
    <row r="38" spans="1:18" x14ac:dyDescent="0.2">
      <c r="A38" s="80" t="s">
        <v>342</v>
      </c>
      <c r="B38" s="103">
        <v>207</v>
      </c>
      <c r="C38" s="103">
        <v>202</v>
      </c>
      <c r="D38" s="103">
        <v>197</v>
      </c>
      <c r="E38" s="103">
        <v>197</v>
      </c>
      <c r="F38" s="103">
        <v>195</v>
      </c>
      <c r="G38" s="106"/>
      <c r="H38" s="106"/>
      <c r="I38" s="106"/>
      <c r="J38" s="106"/>
      <c r="K38" s="106"/>
      <c r="L38" s="106"/>
      <c r="M38" s="106"/>
      <c r="N38" s="106"/>
      <c r="O38" s="106"/>
      <c r="P38" s="106"/>
      <c r="Q38" s="106"/>
      <c r="R38" s="106"/>
    </row>
    <row r="39" spans="1:18" x14ac:dyDescent="0.2">
      <c r="A39" s="88" t="s">
        <v>343</v>
      </c>
      <c r="B39" s="64">
        <v>199.6</v>
      </c>
      <c r="D39"/>
    </row>
    <row r="41" spans="1:18" x14ac:dyDescent="0.2">
      <c r="A41" s="80" t="s">
        <v>344</v>
      </c>
      <c r="B41" s="64">
        <v>2844.5851428571432</v>
      </c>
    </row>
  </sheetData>
  <hyperlinks>
    <hyperlink ref="H3" r:id="rId1" xr:uid="{2EE0E70D-B728-4D1A-B795-3F19B677DFD6}"/>
    <hyperlink ref="H5" r:id="rId2" xr:uid="{BEB03332-2849-45FA-93C4-19651292818A}"/>
    <hyperlink ref="H4" r:id="rId3" xr:uid="{45D7A7CB-EECA-4D33-AAC2-253C219207C3}"/>
    <hyperlink ref="H6" r:id="rId4" xr:uid="{9255CCDF-2234-45F0-9E65-AE380FE538F9}"/>
    <hyperlink ref="H8" r:id="rId5" xr:uid="{EEDFFC1C-2A21-4A32-A77B-D8FA3A73C366}"/>
    <hyperlink ref="H9" r:id="rId6" xr:uid="{D658DE6B-819B-406B-859A-201C28974462}"/>
    <hyperlink ref="H7" r:id="rId7" xr:uid="{07736D31-7787-4F2A-8F9F-2CB3EAAF1579}"/>
    <hyperlink ref="O23" r:id="rId8" xr:uid="{5ED46635-FAAF-4BBF-87FF-94A8A0EC449D}"/>
    <hyperlink ref="B32" r:id="rId9" xr:uid="{E442E709-DFA2-4C03-9F34-E2C41E4EF9EF}"/>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E4F4-07BC-45A9-8EE4-1230D41713A3}">
  <sheetPr codeName="Sheet23"/>
  <dimension ref="A1:V28"/>
  <sheetViews>
    <sheetView workbookViewId="0">
      <selection activeCell="H22" sqref="H22"/>
    </sheetView>
  </sheetViews>
  <sheetFormatPr defaultColWidth="9.140625" defaultRowHeight="15" x14ac:dyDescent="0.25"/>
  <cols>
    <col min="1" max="1" width="31.5703125" style="62" customWidth="1"/>
    <col min="2" max="2" width="9.7109375" style="62" customWidth="1"/>
    <col min="3" max="7" width="9.140625" style="62"/>
    <col min="8" max="8" width="10.140625" style="62" bestFit="1" customWidth="1"/>
    <col min="9" max="16384" width="9.140625" style="62"/>
  </cols>
  <sheetData>
    <row r="1" spans="1:22" x14ac:dyDescent="0.25">
      <c r="A1" s="110" t="s">
        <v>350</v>
      </c>
      <c r="B1" s="111"/>
      <c r="C1" s="111"/>
      <c r="D1" s="111"/>
      <c r="E1" s="111"/>
      <c r="F1" s="111"/>
      <c r="G1" s="111"/>
      <c r="H1" s="111"/>
      <c r="I1" s="111"/>
      <c r="J1" s="111"/>
      <c r="K1" s="111"/>
      <c r="L1" s="111"/>
      <c r="M1" s="111"/>
      <c r="N1" s="111"/>
      <c r="O1" s="111"/>
      <c r="P1" s="111"/>
      <c r="Q1" s="111"/>
      <c r="R1" s="111"/>
      <c r="S1" s="111"/>
      <c r="T1" s="111"/>
      <c r="U1" s="111"/>
      <c r="V1" s="111"/>
    </row>
    <row r="2" spans="1:22" x14ac:dyDescent="0.25">
      <c r="A2" s="111"/>
      <c r="B2" s="111" t="s">
        <v>363</v>
      </c>
      <c r="C2" s="111">
        <v>2018</v>
      </c>
      <c r="D2" s="111">
        <v>2019</v>
      </c>
      <c r="E2" s="111">
        <v>2020</v>
      </c>
      <c r="F2" s="111">
        <v>2021</v>
      </c>
      <c r="G2" s="111">
        <v>2022</v>
      </c>
      <c r="H2" s="111">
        <v>2023</v>
      </c>
      <c r="I2" s="111">
        <v>2024</v>
      </c>
      <c r="J2" s="111"/>
      <c r="K2" s="111"/>
      <c r="L2" s="111"/>
      <c r="M2" s="111"/>
      <c r="N2" s="111"/>
      <c r="O2" s="111"/>
      <c r="P2" s="111"/>
      <c r="Q2" s="111"/>
      <c r="R2" s="111"/>
      <c r="S2" s="111"/>
      <c r="T2" s="111"/>
      <c r="U2" s="111"/>
      <c r="V2" s="111"/>
    </row>
    <row r="3" spans="1:22" x14ac:dyDescent="0.25">
      <c r="A3" s="111" t="s">
        <v>461</v>
      </c>
      <c r="B3" s="143">
        <v>828</v>
      </c>
      <c r="C3" s="143">
        <v>960</v>
      </c>
      <c r="D3" s="143">
        <v>1859</v>
      </c>
      <c r="E3" s="143">
        <v>3172</v>
      </c>
      <c r="F3" s="143">
        <v>1420</v>
      </c>
      <c r="G3" s="143">
        <v>38</v>
      </c>
      <c r="H3" s="144" t="s">
        <v>6</v>
      </c>
      <c r="I3" s="144" t="s">
        <v>6</v>
      </c>
      <c r="J3" s="111"/>
      <c r="K3" s="111"/>
      <c r="L3" s="111"/>
      <c r="M3" s="111"/>
      <c r="N3" s="111"/>
      <c r="O3" s="111"/>
      <c r="P3" s="111"/>
      <c r="Q3" s="111"/>
      <c r="R3" s="111"/>
      <c r="S3" s="111"/>
      <c r="T3" s="111"/>
      <c r="U3" s="111"/>
      <c r="V3" s="111"/>
    </row>
    <row r="4" spans="1:22" x14ac:dyDescent="0.25">
      <c r="A4" s="111" t="s">
        <v>351</v>
      </c>
      <c r="B4" s="144" t="s">
        <v>6</v>
      </c>
      <c r="C4" s="144" t="s">
        <v>6</v>
      </c>
      <c r="D4" s="143">
        <v>0.9</v>
      </c>
      <c r="E4" s="143">
        <v>0.9</v>
      </c>
      <c r="F4" s="143">
        <v>0.9</v>
      </c>
      <c r="G4" s="143">
        <v>0.9</v>
      </c>
      <c r="H4" s="143">
        <v>0.9</v>
      </c>
      <c r="I4" s="143">
        <v>0.9</v>
      </c>
      <c r="J4" s="112"/>
      <c r="K4" s="111"/>
      <c r="L4" s="111"/>
      <c r="M4" s="111"/>
      <c r="N4" s="111"/>
      <c r="O4" s="111"/>
      <c r="P4" s="111"/>
      <c r="Q4" s="111"/>
      <c r="R4" s="111"/>
      <c r="S4" s="111"/>
      <c r="T4" s="111"/>
      <c r="U4" s="111"/>
      <c r="V4" s="111"/>
    </row>
    <row r="5" spans="1:22" x14ac:dyDescent="0.25">
      <c r="A5" s="111" t="s">
        <v>352</v>
      </c>
      <c r="B5" s="144" t="s">
        <v>6</v>
      </c>
      <c r="C5" s="143">
        <v>0.03</v>
      </c>
      <c r="D5" s="143">
        <v>0.06</v>
      </c>
      <c r="E5" s="143">
        <v>0.11</v>
      </c>
      <c r="F5" s="143">
        <v>0.04</v>
      </c>
      <c r="G5" s="145">
        <v>0</v>
      </c>
      <c r="H5" s="145">
        <v>0</v>
      </c>
      <c r="I5" s="145">
        <v>0</v>
      </c>
      <c r="J5" s="113"/>
      <c r="K5" s="111"/>
      <c r="L5" s="111"/>
      <c r="M5" s="111"/>
      <c r="N5" s="111"/>
      <c r="O5" s="111"/>
      <c r="P5" s="111"/>
      <c r="Q5" s="111"/>
      <c r="R5" s="111"/>
      <c r="S5" s="111"/>
      <c r="T5" s="111"/>
      <c r="U5" s="111"/>
      <c r="V5" s="111"/>
    </row>
    <row r="6" spans="1:22" x14ac:dyDescent="0.25">
      <c r="A6" s="111" t="s">
        <v>353</v>
      </c>
      <c r="B6" s="144" t="s">
        <v>6</v>
      </c>
      <c r="C6" s="143">
        <v>1.1000000000000001</v>
      </c>
      <c r="D6" s="143">
        <v>4.8</v>
      </c>
      <c r="E6" s="143">
        <v>7.9</v>
      </c>
      <c r="F6" s="143">
        <v>7.1</v>
      </c>
      <c r="G6" s="143">
        <v>3.7</v>
      </c>
      <c r="H6" s="143">
        <v>1.9</v>
      </c>
      <c r="I6" s="143">
        <v>1.2</v>
      </c>
      <c r="J6" s="111"/>
      <c r="K6" s="111"/>
      <c r="L6" s="111"/>
      <c r="M6" s="111"/>
      <c r="N6" s="111"/>
      <c r="O6" s="111"/>
      <c r="P6" s="111"/>
      <c r="Q6" s="111"/>
      <c r="R6" s="111"/>
      <c r="S6" s="111"/>
      <c r="T6" s="111"/>
      <c r="U6" s="111"/>
      <c r="V6" s="111"/>
    </row>
    <row r="7" spans="1:22" x14ac:dyDescent="0.25">
      <c r="A7" s="111" t="s">
        <v>354</v>
      </c>
      <c r="B7" s="144" t="s">
        <v>6</v>
      </c>
      <c r="C7" s="143">
        <v>1.9</v>
      </c>
      <c r="D7" s="143">
        <v>7.1</v>
      </c>
      <c r="E7" s="143">
        <v>11.4</v>
      </c>
      <c r="F7" s="143">
        <v>9.1999999999999993</v>
      </c>
      <c r="G7" s="145">
        <v>4</v>
      </c>
      <c r="H7" s="143">
        <v>1.9</v>
      </c>
      <c r="I7" s="143">
        <v>1.2</v>
      </c>
      <c r="J7" s="111"/>
      <c r="K7" s="111"/>
      <c r="L7" s="111"/>
      <c r="M7" s="111"/>
      <c r="N7" s="111"/>
      <c r="O7" s="111"/>
      <c r="P7" s="111"/>
      <c r="Q7" s="111"/>
      <c r="R7" s="111"/>
      <c r="S7" s="111"/>
      <c r="T7" s="111"/>
      <c r="U7" s="111"/>
      <c r="V7" s="111"/>
    </row>
    <row r="8" spans="1:22" x14ac:dyDescent="0.25">
      <c r="A8" s="111"/>
      <c r="B8" s="111"/>
      <c r="C8" s="111"/>
      <c r="D8" s="111"/>
      <c r="E8" s="111"/>
      <c r="F8" s="111"/>
      <c r="G8" s="111"/>
      <c r="H8" s="111"/>
      <c r="I8" s="111"/>
      <c r="J8" s="111"/>
      <c r="K8" s="111"/>
      <c r="L8" s="111"/>
      <c r="M8" s="111"/>
      <c r="N8" s="111"/>
      <c r="O8" s="111"/>
      <c r="P8" s="111"/>
      <c r="Q8" s="111"/>
      <c r="R8" s="111"/>
      <c r="S8" s="111"/>
      <c r="T8" s="111"/>
      <c r="U8" s="111"/>
      <c r="V8" s="111"/>
    </row>
    <row r="9" spans="1:22" x14ac:dyDescent="0.25">
      <c r="A9" s="111" t="s">
        <v>355</v>
      </c>
      <c r="B9" s="111"/>
      <c r="C9" s="111"/>
      <c r="D9" s="111"/>
      <c r="E9" s="111"/>
      <c r="F9" s="111"/>
      <c r="G9" s="111"/>
      <c r="H9" s="111"/>
      <c r="I9" s="111"/>
      <c r="J9" s="111"/>
      <c r="K9" s="111"/>
      <c r="L9" s="111"/>
      <c r="M9" s="111"/>
      <c r="N9" s="111"/>
      <c r="O9" s="111"/>
      <c r="P9" s="111"/>
      <c r="Q9" s="111"/>
      <c r="R9" s="111"/>
      <c r="S9" s="111"/>
      <c r="T9" s="111"/>
      <c r="U9" s="111"/>
      <c r="V9" s="111"/>
    </row>
    <row r="10" spans="1:22" x14ac:dyDescent="0.25">
      <c r="A10" s="111"/>
      <c r="B10" s="111"/>
      <c r="C10" s="111"/>
      <c r="D10" s="111"/>
      <c r="E10" s="111"/>
      <c r="F10" s="111"/>
      <c r="G10" s="111"/>
      <c r="H10" s="111"/>
      <c r="I10" s="114"/>
      <c r="J10" s="111"/>
      <c r="K10" s="111"/>
      <c r="L10" s="111"/>
      <c r="M10" s="111"/>
      <c r="N10" s="111"/>
      <c r="O10" s="111"/>
      <c r="P10" s="111"/>
      <c r="Q10" s="111"/>
      <c r="R10" s="111"/>
      <c r="S10" s="111"/>
      <c r="T10" s="111"/>
      <c r="U10" s="111"/>
      <c r="V10" s="111"/>
    </row>
    <row r="11" spans="1:22" x14ac:dyDescent="0.25">
      <c r="A11" s="110" t="s">
        <v>356</v>
      </c>
      <c r="B11" s="110"/>
      <c r="C11" s="111"/>
      <c r="D11" s="111"/>
      <c r="E11" s="111"/>
      <c r="F11" s="111"/>
      <c r="G11" s="111"/>
      <c r="H11" s="111"/>
      <c r="I11" s="111"/>
      <c r="J11" s="111"/>
      <c r="K11" s="111"/>
      <c r="L11" s="111"/>
      <c r="M11" s="111"/>
      <c r="N11" s="111"/>
      <c r="O11" s="111"/>
      <c r="P11" s="111"/>
      <c r="Q11" s="111"/>
      <c r="R11" s="111"/>
      <c r="S11" s="111"/>
      <c r="T11" s="111"/>
      <c r="U11" s="111"/>
      <c r="V11" s="111"/>
    </row>
    <row r="12" spans="1:22" x14ac:dyDescent="0.25">
      <c r="A12" s="111" t="s">
        <v>357</v>
      </c>
      <c r="B12" s="111"/>
      <c r="C12" s="111"/>
      <c r="D12" s="111"/>
      <c r="E12" s="111"/>
      <c r="F12" s="111"/>
      <c r="G12" s="111"/>
      <c r="H12" s="111"/>
      <c r="I12" s="111"/>
      <c r="J12" s="111"/>
      <c r="K12" s="111"/>
      <c r="L12" s="111"/>
      <c r="M12" s="111"/>
      <c r="N12" s="111"/>
      <c r="O12" s="111"/>
      <c r="P12" s="111"/>
      <c r="Q12" s="111"/>
      <c r="R12" s="111"/>
      <c r="S12" s="111"/>
      <c r="T12" s="111"/>
      <c r="U12" s="111"/>
      <c r="V12" s="111"/>
    </row>
    <row r="13" spans="1:22" x14ac:dyDescent="0.25">
      <c r="A13" s="111"/>
      <c r="B13" s="111"/>
      <c r="C13" s="111"/>
      <c r="D13" s="111"/>
      <c r="E13" s="111"/>
      <c r="F13" s="111"/>
      <c r="G13" s="111"/>
      <c r="H13" s="111"/>
      <c r="I13" s="111"/>
      <c r="J13" s="111"/>
      <c r="K13" s="111"/>
      <c r="L13" s="111"/>
      <c r="M13" s="111"/>
      <c r="N13" s="111"/>
      <c r="O13" s="111"/>
      <c r="P13" s="111"/>
      <c r="Q13" s="111"/>
      <c r="R13" s="111"/>
      <c r="S13" s="111"/>
      <c r="T13" s="111"/>
      <c r="U13" s="111"/>
      <c r="V13" s="111"/>
    </row>
    <row r="14" spans="1:22" x14ac:dyDescent="0.25">
      <c r="A14" s="115" t="s">
        <v>462</v>
      </c>
      <c r="B14" s="112" t="s">
        <v>363</v>
      </c>
      <c r="C14" s="112">
        <v>2018</v>
      </c>
      <c r="D14" s="112">
        <v>2019</v>
      </c>
      <c r="E14" s="112">
        <v>2020</v>
      </c>
      <c r="F14" s="112">
        <v>2021</v>
      </c>
      <c r="G14" s="112">
        <v>2022</v>
      </c>
      <c r="H14" s="112" t="s">
        <v>3</v>
      </c>
      <c r="I14" s="111"/>
      <c r="J14" s="111"/>
      <c r="K14" s="111"/>
      <c r="L14" s="111"/>
      <c r="M14" s="111"/>
      <c r="N14" s="111"/>
      <c r="O14" s="111"/>
      <c r="P14" s="111"/>
      <c r="Q14" s="111"/>
      <c r="R14" s="111"/>
      <c r="S14" s="111"/>
      <c r="T14" s="111"/>
      <c r="U14" s="111"/>
      <c r="V14" s="111"/>
    </row>
    <row r="15" spans="1:22" x14ac:dyDescent="0.25">
      <c r="A15" s="116" t="s">
        <v>358</v>
      </c>
      <c r="B15" s="139">
        <v>930</v>
      </c>
      <c r="C15" s="117">
        <f>726+(1135-930)</f>
        <v>931</v>
      </c>
      <c r="D15" s="117">
        <v>1802</v>
      </c>
      <c r="E15" s="117">
        <v>3075</v>
      </c>
      <c r="F15" s="117">
        <v>1377</v>
      </c>
      <c r="G15" s="117">
        <v>37</v>
      </c>
      <c r="H15" s="118">
        <f>SUM(B15:G15)</f>
        <v>8152</v>
      </c>
      <c r="I15" s="111"/>
      <c r="J15" s="111"/>
      <c r="K15" s="111"/>
      <c r="L15" s="111"/>
      <c r="M15" s="111"/>
      <c r="N15" s="111"/>
      <c r="O15" s="111"/>
      <c r="P15" s="111"/>
      <c r="Q15" s="111"/>
      <c r="R15" s="111"/>
      <c r="S15" s="111"/>
      <c r="T15" s="111"/>
      <c r="U15" s="111"/>
      <c r="V15" s="111"/>
    </row>
    <row r="16" spans="1:22" x14ac:dyDescent="0.25">
      <c r="A16" s="116" t="s">
        <v>364</v>
      </c>
      <c r="B16" s="139"/>
      <c r="C16" s="117">
        <f>(C15/($H15-$B15))*$H16</f>
        <v>147.99058432567156</v>
      </c>
      <c r="D16" s="117">
        <f>(D15/($H15-$B15))*$H16</f>
        <v>286.44364441982827</v>
      </c>
      <c r="E16" s="117">
        <f>(E15/($H15-$B15))*$H16</f>
        <v>488.79811686513432</v>
      </c>
      <c r="F16" s="117">
        <f>(F15/($H15-$B15))*$H16</f>
        <v>218.88618111326502</v>
      </c>
      <c r="G16" s="117">
        <f>(G15/($H15-$B15))*$H16</f>
        <v>5.8814732761008024</v>
      </c>
      <c r="H16" s="118">
        <f>H17-H15</f>
        <v>1148</v>
      </c>
      <c r="I16" s="111"/>
      <c r="J16" s="111"/>
      <c r="K16" s="111"/>
      <c r="L16" s="111"/>
      <c r="M16" s="111"/>
      <c r="N16" s="111"/>
      <c r="O16" s="111"/>
      <c r="P16" s="111"/>
      <c r="Q16" s="111"/>
      <c r="R16" s="111"/>
      <c r="S16" s="111"/>
      <c r="T16" s="111"/>
      <c r="U16" s="111"/>
      <c r="V16" s="111"/>
    </row>
    <row r="17" spans="1:22" x14ac:dyDescent="0.25">
      <c r="A17" s="116" t="s">
        <v>359</v>
      </c>
      <c r="B17" s="117">
        <f>SUM(B15:B16)</f>
        <v>930</v>
      </c>
      <c r="C17" s="117">
        <f>C16+C15</f>
        <v>1078.9905843256715</v>
      </c>
      <c r="D17" s="117">
        <f>D16+D15</f>
        <v>2088.4436444198282</v>
      </c>
      <c r="E17" s="117">
        <f>E16+E15</f>
        <v>3563.7981168651345</v>
      </c>
      <c r="F17" s="117">
        <f>F16+F15</f>
        <v>1595.8861811132651</v>
      </c>
      <c r="G17" s="117">
        <f>G16+G15</f>
        <v>42.881473276100806</v>
      </c>
      <c r="H17" s="141">
        <v>9300</v>
      </c>
      <c r="I17" s="111"/>
      <c r="J17" s="111"/>
      <c r="K17" s="111"/>
      <c r="L17" s="111"/>
      <c r="M17" s="111"/>
      <c r="N17" s="111"/>
      <c r="O17" s="111"/>
      <c r="P17" s="111"/>
      <c r="Q17" s="111"/>
      <c r="R17" s="111"/>
      <c r="S17" s="111"/>
      <c r="T17" s="111"/>
      <c r="U17" s="111"/>
      <c r="V17" s="111"/>
    </row>
    <row r="18" spans="1:22" x14ac:dyDescent="0.25">
      <c r="A18" s="116" t="s">
        <v>360</v>
      </c>
      <c r="B18" s="140">
        <v>0.11</v>
      </c>
      <c r="C18" s="140"/>
      <c r="D18" s="140"/>
      <c r="E18" s="140"/>
      <c r="F18" s="140"/>
      <c r="G18" s="140"/>
      <c r="H18" s="118">
        <f>SUM(B17:G17)</f>
        <v>9300</v>
      </c>
      <c r="I18" s="111"/>
      <c r="J18" s="111"/>
      <c r="K18" s="111"/>
      <c r="L18" s="111"/>
      <c r="M18" s="111"/>
      <c r="N18" s="111"/>
      <c r="O18" s="111"/>
      <c r="P18" s="111"/>
      <c r="Q18" s="111"/>
      <c r="R18" s="111"/>
      <c r="S18" s="111"/>
      <c r="T18" s="111"/>
      <c r="U18" s="111"/>
      <c r="V18" s="111"/>
    </row>
    <row r="19" spans="1:22" x14ac:dyDescent="0.25">
      <c r="A19" s="116"/>
      <c r="B19" s="140"/>
      <c r="C19" s="140"/>
      <c r="D19" s="140"/>
      <c r="E19" s="140"/>
      <c r="F19" s="140"/>
      <c r="G19" s="140"/>
      <c r="H19" s="118"/>
      <c r="I19" s="111"/>
      <c r="J19" s="111"/>
      <c r="K19" s="111"/>
      <c r="L19" s="111"/>
      <c r="M19" s="111"/>
      <c r="N19" s="111"/>
      <c r="O19" s="111"/>
      <c r="P19" s="111"/>
      <c r="Q19" s="111"/>
      <c r="R19" s="111"/>
      <c r="S19" s="111"/>
      <c r="T19" s="111"/>
      <c r="U19" s="111"/>
      <c r="V19" s="111"/>
    </row>
    <row r="20" spans="1:22" x14ac:dyDescent="0.25">
      <c r="A20" s="116" t="s">
        <v>361</v>
      </c>
      <c r="B20" s="139">
        <f t="shared" ref="B20:G20" si="0">(1-$B18)*B17</f>
        <v>827.7</v>
      </c>
      <c r="C20" s="139">
        <f t="shared" si="0"/>
        <v>960.30162004984766</v>
      </c>
      <c r="D20" s="139">
        <f t="shared" si="0"/>
        <v>1858.7148435336471</v>
      </c>
      <c r="E20" s="139">
        <f t="shared" si="0"/>
        <v>3171.7803240099697</v>
      </c>
      <c r="F20" s="139">
        <f t="shared" si="0"/>
        <v>1420.338701190806</v>
      </c>
      <c r="G20" s="139">
        <f t="shared" si="0"/>
        <v>38.164511215729718</v>
      </c>
      <c r="H20" s="142">
        <f>SUM(B20:G20)</f>
        <v>8277</v>
      </c>
      <c r="I20" s="111"/>
      <c r="J20" s="111"/>
      <c r="K20" s="111"/>
      <c r="L20" s="111"/>
      <c r="M20" s="111"/>
      <c r="N20" s="111"/>
      <c r="O20" s="111"/>
      <c r="P20" s="111"/>
      <c r="Q20" s="111"/>
      <c r="R20" s="111"/>
      <c r="S20" s="111"/>
      <c r="T20" s="111"/>
      <c r="U20" s="111"/>
      <c r="V20" s="111"/>
    </row>
    <row r="21" spans="1:22" x14ac:dyDescent="0.25">
      <c r="A21" s="111"/>
      <c r="B21" s="111"/>
      <c r="C21" s="111"/>
      <c r="D21" s="111"/>
      <c r="E21" s="111"/>
      <c r="F21" s="111"/>
      <c r="G21" s="111"/>
      <c r="H21" s="111"/>
      <c r="I21" s="111"/>
      <c r="J21" s="111"/>
      <c r="K21" s="111"/>
      <c r="L21" s="111"/>
      <c r="M21" s="111"/>
      <c r="N21" s="111"/>
      <c r="O21" s="111"/>
      <c r="P21" s="111"/>
      <c r="Q21" s="111"/>
      <c r="R21" s="111"/>
      <c r="S21" s="111"/>
      <c r="T21" s="111"/>
      <c r="U21" s="111"/>
      <c r="V21" s="111"/>
    </row>
    <row r="22" spans="1:22" x14ac:dyDescent="0.25">
      <c r="A22" s="111" t="s">
        <v>362</v>
      </c>
      <c r="B22" s="111"/>
      <c r="C22" s="111"/>
      <c r="D22" s="111"/>
      <c r="E22" s="111"/>
      <c r="F22" s="111"/>
      <c r="G22" s="111"/>
      <c r="H22" s="111"/>
      <c r="I22" s="111"/>
      <c r="J22" s="111"/>
      <c r="K22" s="111"/>
      <c r="L22" s="111"/>
      <c r="M22" s="111"/>
      <c r="N22" s="111"/>
      <c r="O22" s="111"/>
      <c r="P22" s="111"/>
      <c r="Q22" s="111"/>
      <c r="R22" s="111"/>
      <c r="S22" s="111"/>
      <c r="T22" s="111"/>
      <c r="U22" s="111"/>
      <c r="V22" s="111"/>
    </row>
    <row r="23" spans="1:22" x14ac:dyDescent="0.25">
      <c r="A23" s="111"/>
      <c r="B23" s="111"/>
      <c r="C23" s="111"/>
      <c r="D23" s="111"/>
      <c r="E23" s="111"/>
      <c r="F23" s="111"/>
      <c r="G23" s="111"/>
      <c r="H23" s="111"/>
      <c r="I23" s="111"/>
      <c r="J23" s="111"/>
      <c r="K23" s="111"/>
      <c r="L23" s="111"/>
      <c r="M23" s="111"/>
      <c r="N23" s="111"/>
      <c r="O23" s="111"/>
      <c r="P23" s="111"/>
      <c r="Q23" s="111"/>
      <c r="R23" s="111"/>
      <c r="S23" s="111"/>
      <c r="T23" s="111"/>
      <c r="U23" s="111"/>
      <c r="V23" s="111"/>
    </row>
    <row r="24" spans="1:22" x14ac:dyDescent="0.25">
      <c r="A24" s="111"/>
      <c r="B24" s="111"/>
      <c r="C24" s="111"/>
      <c r="D24" s="111"/>
      <c r="E24" s="111"/>
      <c r="F24" s="111"/>
      <c r="G24" s="111"/>
      <c r="H24" s="111"/>
      <c r="I24" s="111"/>
      <c r="J24" s="111"/>
      <c r="K24" s="111"/>
      <c r="L24" s="111"/>
      <c r="M24" s="111"/>
      <c r="N24" s="111"/>
      <c r="O24" s="111"/>
      <c r="P24" s="111"/>
      <c r="Q24" s="111"/>
      <c r="R24" s="111"/>
      <c r="S24" s="111"/>
      <c r="T24" s="111"/>
      <c r="U24" s="111"/>
      <c r="V24" s="111"/>
    </row>
    <row r="25" spans="1:22" x14ac:dyDescent="0.25">
      <c r="A25" s="111"/>
      <c r="B25" s="111"/>
      <c r="C25" s="111"/>
      <c r="D25" s="111"/>
      <c r="E25" s="111"/>
      <c r="F25" s="111"/>
      <c r="G25" s="111"/>
      <c r="H25" s="111"/>
      <c r="I25" s="111"/>
      <c r="J25" s="111"/>
      <c r="K25" s="111"/>
      <c r="L25" s="111"/>
      <c r="M25" s="111"/>
      <c r="N25" s="111"/>
      <c r="O25" s="111"/>
      <c r="P25" s="111"/>
      <c r="Q25" s="111"/>
      <c r="R25" s="111"/>
      <c r="S25" s="111"/>
      <c r="T25" s="111"/>
      <c r="U25" s="111"/>
      <c r="V25" s="111"/>
    </row>
    <row r="26" spans="1:22" x14ac:dyDescent="0.25">
      <c r="A26" s="111"/>
      <c r="B26" s="111"/>
      <c r="C26" s="111"/>
      <c r="D26" s="111"/>
      <c r="E26" s="111"/>
      <c r="F26" s="111"/>
      <c r="G26" s="111"/>
      <c r="H26" s="111"/>
      <c r="I26" s="111"/>
      <c r="J26" s="111"/>
      <c r="K26" s="111"/>
      <c r="L26" s="111"/>
      <c r="M26" s="111"/>
      <c r="N26" s="111"/>
      <c r="O26" s="111"/>
      <c r="P26" s="111"/>
      <c r="Q26" s="111"/>
      <c r="R26" s="111"/>
      <c r="S26" s="111"/>
      <c r="T26" s="111"/>
      <c r="U26" s="111"/>
      <c r="V26" s="111"/>
    </row>
    <row r="27" spans="1:22" x14ac:dyDescent="0.25">
      <c r="A27" s="111"/>
      <c r="B27" s="111"/>
      <c r="C27" s="111"/>
      <c r="D27" s="111"/>
      <c r="E27" s="111"/>
      <c r="F27" s="111"/>
      <c r="G27" s="111"/>
      <c r="H27" s="111"/>
      <c r="I27" s="111"/>
      <c r="J27" s="111"/>
      <c r="K27" s="111"/>
      <c r="L27" s="111"/>
      <c r="M27" s="111"/>
      <c r="N27" s="111"/>
      <c r="O27" s="111"/>
      <c r="P27" s="111"/>
      <c r="Q27" s="111"/>
      <c r="R27" s="111"/>
      <c r="S27" s="111"/>
      <c r="T27" s="111"/>
      <c r="U27" s="111"/>
      <c r="V27" s="111"/>
    </row>
    <row r="28" spans="1:22" x14ac:dyDescent="0.25">
      <c r="A28" s="111"/>
      <c r="B28" s="111"/>
      <c r="C28" s="111"/>
      <c r="D28" s="111"/>
      <c r="E28" s="111"/>
      <c r="F28" s="111"/>
      <c r="G28" s="111"/>
      <c r="H28" s="111"/>
      <c r="I28" s="111"/>
      <c r="J28" s="111"/>
      <c r="K28" s="111"/>
      <c r="L28" s="111"/>
      <c r="M28" s="111"/>
      <c r="N28" s="111"/>
      <c r="O28" s="111"/>
      <c r="P28" s="111"/>
      <c r="Q28" s="111"/>
      <c r="R28" s="111"/>
      <c r="S28" s="111"/>
      <c r="T28" s="111"/>
      <c r="U28" s="111"/>
      <c r="V28" s="111"/>
    </row>
  </sheetData>
  <pageMargins left="0.7" right="0.7" top="0.75" bottom="0.75" header="0.3" footer="0.3"/>
  <pageSetup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8C8C-1825-42F5-9E4B-478A773932D5}">
  <sheetPr codeName="Sheet24"/>
  <dimension ref="A1:D105"/>
  <sheetViews>
    <sheetView zoomScale="80" zoomScaleNormal="80" workbookViewId="0">
      <selection activeCell="G30" sqref="G30"/>
    </sheetView>
  </sheetViews>
  <sheetFormatPr defaultColWidth="9.140625" defaultRowHeight="15" x14ac:dyDescent="0.25"/>
  <cols>
    <col min="1" max="16384" width="9.140625" style="43"/>
  </cols>
  <sheetData>
    <row r="1" spans="1:4" x14ac:dyDescent="0.25">
      <c r="A1" s="119"/>
      <c r="B1" s="119" t="s">
        <v>135</v>
      </c>
      <c r="C1" s="119" t="s">
        <v>134</v>
      </c>
      <c r="D1" s="119" t="s">
        <v>365</v>
      </c>
    </row>
    <row r="2" spans="1:4" x14ac:dyDescent="0.25">
      <c r="A2" s="119" t="s">
        <v>136</v>
      </c>
      <c r="B2" s="119">
        <f>[1]Sheet4!B100</f>
        <v>31.336666666666599</v>
      </c>
      <c r="C2" s="119">
        <f>[1]Sheet4!G100</f>
        <v>49.726666666666603</v>
      </c>
      <c r="D2" s="119">
        <f t="shared" ref="D2:D33" si="0">C2-B2</f>
        <v>18.390000000000004</v>
      </c>
    </row>
    <row r="3" spans="1:4" x14ac:dyDescent="0.25">
      <c r="A3" s="119" t="s">
        <v>137</v>
      </c>
      <c r="B3" s="119">
        <f>[1]Sheet4!B101</f>
        <v>32.0966666666667</v>
      </c>
      <c r="C3" s="119">
        <f>[1]Sheet4!G101</f>
        <v>53.053333333333299</v>
      </c>
      <c r="D3" s="119">
        <f t="shared" si="0"/>
        <v>20.956666666666599</v>
      </c>
    </row>
    <row r="4" spans="1:4" x14ac:dyDescent="0.25">
      <c r="A4" s="119" t="s">
        <v>138</v>
      </c>
      <c r="B4" s="119">
        <f>[1]Sheet4!B102</f>
        <v>45.07</v>
      </c>
      <c r="C4" s="119">
        <f>[1]Sheet4!G102</f>
        <v>63.1933333333333</v>
      </c>
      <c r="D4" s="119">
        <f t="shared" si="0"/>
        <v>18.123333333333299</v>
      </c>
    </row>
    <row r="5" spans="1:4" x14ac:dyDescent="0.25">
      <c r="A5" s="119" t="s">
        <v>139</v>
      </c>
      <c r="B5" s="119">
        <f>[1]Sheet4!B103</f>
        <v>36.19</v>
      </c>
      <c r="C5" s="119">
        <f>[1]Sheet4!G103</f>
        <v>59.996666666666599</v>
      </c>
      <c r="D5" s="119">
        <f t="shared" si="0"/>
        <v>23.806666666666601</v>
      </c>
    </row>
    <row r="6" spans="1:4" x14ac:dyDescent="0.25">
      <c r="A6" s="119" t="s">
        <v>140</v>
      </c>
      <c r="B6" s="119">
        <f>[1]Sheet4!B104</f>
        <v>34.54</v>
      </c>
      <c r="C6" s="119">
        <f>[1]Sheet4!G104</f>
        <v>63.27</v>
      </c>
      <c r="D6" s="119">
        <f t="shared" si="0"/>
        <v>28.730000000000004</v>
      </c>
    </row>
    <row r="7" spans="1:4" x14ac:dyDescent="0.25">
      <c r="A7" s="119" t="s">
        <v>141</v>
      </c>
      <c r="B7" s="119">
        <f>[1]Sheet4!B105</f>
        <v>53.36</v>
      </c>
      <c r="C7" s="119">
        <f>[1]Sheet4!G105</f>
        <v>70.41</v>
      </c>
      <c r="D7" s="119">
        <f t="shared" si="0"/>
        <v>17.049999999999997</v>
      </c>
    </row>
    <row r="8" spans="1:4" x14ac:dyDescent="0.25">
      <c r="A8" s="119" t="s">
        <v>142</v>
      </c>
      <c r="B8" s="119">
        <f>[1]Sheet4!B106</f>
        <v>51.71</v>
      </c>
      <c r="C8" s="119">
        <f>[1]Sheet4!G106</f>
        <v>70.4166666666666</v>
      </c>
      <c r="D8" s="119">
        <f t="shared" si="0"/>
        <v>18.706666666666599</v>
      </c>
    </row>
    <row r="9" spans="1:4" x14ac:dyDescent="0.25">
      <c r="A9" s="119" t="s">
        <v>143</v>
      </c>
      <c r="B9" s="119">
        <f>[1]Sheet4!B107</f>
        <v>39.756666666666597</v>
      </c>
      <c r="C9" s="119">
        <f>[1]Sheet4!G107</f>
        <v>59.976666666666603</v>
      </c>
      <c r="D9" s="119">
        <f t="shared" si="0"/>
        <v>20.220000000000006</v>
      </c>
    </row>
    <row r="10" spans="1:4" x14ac:dyDescent="0.25">
      <c r="A10" s="119" t="s">
        <v>144</v>
      </c>
      <c r="B10" s="119">
        <f>[1]Sheet4!B108</f>
        <v>42.61</v>
      </c>
      <c r="C10" s="119">
        <f>[1]Sheet4!G108</f>
        <v>58.076666666666597</v>
      </c>
      <c r="D10" s="119">
        <f t="shared" si="0"/>
        <v>15.466666666666598</v>
      </c>
    </row>
    <row r="11" spans="1:4" x14ac:dyDescent="0.25">
      <c r="A11" s="119" t="s">
        <v>145</v>
      </c>
      <c r="B11" s="119">
        <f>[1]Sheet4!B109</f>
        <v>45.793333333333301</v>
      </c>
      <c r="C11" s="119">
        <f>[1]Sheet4!G109</f>
        <v>64.976666666666603</v>
      </c>
      <c r="D11" s="119">
        <f t="shared" si="0"/>
        <v>19.183333333333302</v>
      </c>
    </row>
    <row r="12" spans="1:4" x14ac:dyDescent="0.25">
      <c r="A12" s="119" t="s">
        <v>146</v>
      </c>
      <c r="B12" s="119">
        <f>[1]Sheet4!B110</f>
        <v>53.0266666666666</v>
      </c>
      <c r="C12" s="119">
        <f>[1]Sheet4!G110</f>
        <v>75.466666666666598</v>
      </c>
      <c r="D12" s="119">
        <f t="shared" si="0"/>
        <v>22.439999999999998</v>
      </c>
    </row>
    <row r="13" spans="1:4" x14ac:dyDescent="0.25">
      <c r="A13" s="119" t="s">
        <v>147</v>
      </c>
      <c r="B13" s="119">
        <f>[1]Sheet4!B111</f>
        <v>57.076666666666704</v>
      </c>
      <c r="C13" s="119">
        <f>[1]Sheet4!G111</f>
        <v>90.753333333333302</v>
      </c>
      <c r="D13" s="119">
        <f t="shared" si="0"/>
        <v>33.676666666666598</v>
      </c>
    </row>
    <row r="14" spans="1:4" x14ac:dyDescent="0.25">
      <c r="A14" s="119" t="s">
        <v>148</v>
      </c>
      <c r="B14" s="119">
        <f>[1]Sheet4!B112</f>
        <v>76.483333333333206</v>
      </c>
      <c r="C14" s="119">
        <f>[1]Sheet4!G112</f>
        <v>97.936666666666596</v>
      </c>
      <c r="D14" s="119">
        <f t="shared" si="0"/>
        <v>21.45333333333339</v>
      </c>
    </row>
    <row r="15" spans="1:4" x14ac:dyDescent="0.25">
      <c r="A15" s="119" t="s">
        <v>149</v>
      </c>
      <c r="B15" s="119">
        <f>[1]Sheet4!B113</f>
        <v>102.329999999999</v>
      </c>
      <c r="C15" s="119">
        <f>[1]Sheet4!G113</f>
        <v>123.95333333333301</v>
      </c>
      <c r="D15" s="119">
        <f t="shared" si="0"/>
        <v>21.623333333334003</v>
      </c>
    </row>
    <row r="16" spans="1:4" x14ac:dyDescent="0.25">
      <c r="A16" s="119" t="s">
        <v>150</v>
      </c>
      <c r="B16" s="119">
        <f>[1]Sheet4!B114</f>
        <v>100.046666666666</v>
      </c>
      <c r="C16" s="119">
        <f>[1]Sheet4!G114</f>
        <v>118.05</v>
      </c>
      <c r="D16" s="119">
        <f t="shared" si="0"/>
        <v>18.003333333333998</v>
      </c>
    </row>
    <row r="17" spans="1:4" x14ac:dyDescent="0.25">
      <c r="A17" s="119" t="s">
        <v>151</v>
      </c>
      <c r="B17" s="119">
        <f>[1]Sheet4!B115</f>
        <v>39.213333333333303</v>
      </c>
      <c r="C17" s="119">
        <f>[1]Sheet4!G115</f>
        <v>58.3466666666666</v>
      </c>
      <c r="D17" s="119">
        <f t="shared" si="0"/>
        <v>19.133333333333297</v>
      </c>
    </row>
    <row r="18" spans="1:4" x14ac:dyDescent="0.25">
      <c r="A18" s="119" t="s">
        <v>152</v>
      </c>
      <c r="B18" s="119">
        <f>[1]Sheet4!B116</f>
        <v>33.979999999999897</v>
      </c>
      <c r="C18" s="119">
        <f>[1]Sheet4!G116</f>
        <v>42.913333333333298</v>
      </c>
      <c r="D18" s="119">
        <f t="shared" si="0"/>
        <v>8.9333333333334011</v>
      </c>
    </row>
    <row r="19" spans="1:4" x14ac:dyDescent="0.25">
      <c r="A19" s="119" t="s">
        <v>153</v>
      </c>
      <c r="B19" s="119">
        <f>[1]Sheet4!B117</f>
        <v>52.0133333333333</v>
      </c>
      <c r="C19" s="119">
        <f>[1]Sheet4!G117</f>
        <v>59.44</v>
      </c>
      <c r="D19" s="119">
        <f t="shared" si="0"/>
        <v>7.4266666666666978</v>
      </c>
    </row>
    <row r="20" spans="1:4" x14ac:dyDescent="0.25">
      <c r="A20" s="119" t="s">
        <v>154</v>
      </c>
      <c r="B20" s="119">
        <f>[1]Sheet4!B118</f>
        <v>58.0566666666667</v>
      </c>
      <c r="C20" s="119">
        <f>[1]Sheet4!G118</f>
        <v>68.203333333333305</v>
      </c>
      <c r="D20" s="119">
        <f t="shared" si="0"/>
        <v>10.146666666666604</v>
      </c>
    </row>
    <row r="21" spans="1:4" x14ac:dyDescent="0.25">
      <c r="A21" s="119" t="s">
        <v>155</v>
      </c>
      <c r="B21" s="119">
        <f>[1]Sheet4!B119</f>
        <v>63.943333333333399</v>
      </c>
      <c r="C21" s="119">
        <f>[1]Sheet4!G119</f>
        <v>76.06</v>
      </c>
      <c r="D21" s="119">
        <f t="shared" si="0"/>
        <v>12.116666666666603</v>
      </c>
    </row>
    <row r="22" spans="1:4" x14ac:dyDescent="0.25">
      <c r="A22" s="119" t="s">
        <v>156</v>
      </c>
      <c r="B22" s="119">
        <f>[1]Sheet4!B120</f>
        <v>69.596666666666493</v>
      </c>
      <c r="C22" s="119">
        <f>[1]Sheet4!G120</f>
        <v>78.64</v>
      </c>
      <c r="D22" s="119">
        <f t="shared" si="0"/>
        <v>9.0433333333335071</v>
      </c>
    </row>
    <row r="23" spans="1:4" x14ac:dyDescent="0.25">
      <c r="A23" s="119" t="s">
        <v>157</v>
      </c>
      <c r="B23" s="119">
        <f>[1]Sheet4!B121</f>
        <v>63.7</v>
      </c>
      <c r="C23" s="119">
        <f>[1]Sheet4!G121</f>
        <v>77.790000000000006</v>
      </c>
      <c r="D23" s="119">
        <f t="shared" si="0"/>
        <v>14.090000000000003</v>
      </c>
    </row>
    <row r="24" spans="1:4" x14ac:dyDescent="0.25">
      <c r="A24" s="119" t="s">
        <v>158</v>
      </c>
      <c r="B24" s="119">
        <f>[1]Sheet4!B122</f>
        <v>60.4033333333333</v>
      </c>
      <c r="C24" s="119">
        <f>[1]Sheet4!G122</f>
        <v>76.053333333333299</v>
      </c>
      <c r="D24" s="119">
        <f t="shared" si="0"/>
        <v>15.649999999999999</v>
      </c>
    </row>
    <row r="25" spans="1:4" x14ac:dyDescent="0.25">
      <c r="A25" s="119" t="s">
        <v>159</v>
      </c>
      <c r="B25" s="119">
        <f>[1]Sheet4!B123</f>
        <v>66.979999999999905</v>
      </c>
      <c r="C25" s="119">
        <f>[1]Sheet4!G123</f>
        <v>85.096666666666394</v>
      </c>
      <c r="D25" s="119">
        <f t="shared" si="0"/>
        <v>18.11666666666649</v>
      </c>
    </row>
    <row r="26" spans="1:4" x14ac:dyDescent="0.25">
      <c r="A26" s="119" t="s">
        <v>160</v>
      </c>
      <c r="B26" s="119">
        <f>[1]Sheet4!B124</f>
        <v>70.676666666666605</v>
      </c>
      <c r="C26" s="119">
        <f>[1]Sheet4!G124</f>
        <v>93.536666666666605</v>
      </c>
      <c r="D26" s="119">
        <f t="shared" si="0"/>
        <v>22.86</v>
      </c>
    </row>
    <row r="27" spans="1:4" x14ac:dyDescent="0.25">
      <c r="A27" s="119" t="s">
        <v>161</v>
      </c>
      <c r="B27" s="119">
        <f>[1]Sheet4!B125</f>
        <v>84.593333333333405</v>
      </c>
      <c r="C27" s="119">
        <f>[1]Sheet4!G125</f>
        <v>102.23</v>
      </c>
      <c r="D27" s="119">
        <f t="shared" si="0"/>
        <v>17.636666666666599</v>
      </c>
    </row>
    <row r="28" spans="1:4" x14ac:dyDescent="0.25">
      <c r="A28" s="119" t="s">
        <v>162</v>
      </c>
      <c r="B28" s="119">
        <f>[1]Sheet4!B126</f>
        <v>72.093333333333305</v>
      </c>
      <c r="C28" s="119">
        <f>[1]Sheet4!G126</f>
        <v>89.716666666666598</v>
      </c>
      <c r="D28" s="119">
        <f t="shared" si="0"/>
        <v>17.623333333333292</v>
      </c>
    </row>
    <row r="29" spans="1:4" x14ac:dyDescent="0.25">
      <c r="A29" s="119" t="s">
        <v>163</v>
      </c>
      <c r="B29" s="119">
        <f>[1]Sheet4!B127</f>
        <v>83.53</v>
      </c>
      <c r="C29" s="119">
        <f>[1]Sheet4!G127</f>
        <v>94.013333333333307</v>
      </c>
      <c r="D29" s="119">
        <f t="shared" si="0"/>
        <v>10.483333333333306</v>
      </c>
    </row>
    <row r="30" spans="1:4" x14ac:dyDescent="0.25">
      <c r="A30" s="119" t="s">
        <v>164</v>
      </c>
      <c r="B30" s="119">
        <f>[1]Sheet4!B128</f>
        <v>81.453333333332594</v>
      </c>
      <c r="C30" s="119">
        <f>[1]Sheet4!G128</f>
        <v>102.876666666666</v>
      </c>
      <c r="D30" s="119">
        <f t="shared" si="0"/>
        <v>21.423333333333403</v>
      </c>
    </row>
    <row r="31" spans="1:4" x14ac:dyDescent="0.25">
      <c r="A31" s="119" t="s">
        <v>165</v>
      </c>
      <c r="B31" s="119">
        <f>[1]Sheet4!B129</f>
        <v>70.563333333333304</v>
      </c>
      <c r="C31" s="119">
        <f>[1]Sheet4!G129</f>
        <v>93.426666666666605</v>
      </c>
      <c r="D31" s="119">
        <f t="shared" si="0"/>
        <v>22.863333333333301</v>
      </c>
    </row>
    <row r="32" spans="1:4" x14ac:dyDescent="0.25">
      <c r="A32" s="119" t="s">
        <v>166</v>
      </c>
      <c r="B32" s="119">
        <f>[1]Sheet4!B130</f>
        <v>70.456666666666706</v>
      </c>
      <c r="C32" s="119">
        <f>[1]Sheet4!G130</f>
        <v>92.18</v>
      </c>
      <c r="D32" s="119">
        <f t="shared" si="0"/>
        <v>21.723333333333301</v>
      </c>
    </row>
    <row r="33" spans="1:4" x14ac:dyDescent="0.25">
      <c r="A33" s="119" t="s">
        <v>167</v>
      </c>
      <c r="B33" s="119">
        <f>[1]Sheet4!B131</f>
        <v>69.849999999999895</v>
      </c>
      <c r="C33" s="119">
        <f>[1]Sheet4!G131</f>
        <v>87.959999999999894</v>
      </c>
      <c r="D33" s="119">
        <f t="shared" si="0"/>
        <v>18.11</v>
      </c>
    </row>
    <row r="34" spans="1:4" x14ac:dyDescent="0.25">
      <c r="A34" s="119" t="s">
        <v>168</v>
      </c>
      <c r="B34" s="119">
        <f>[1]Sheet4!B132</f>
        <v>62.376666666666601</v>
      </c>
      <c r="C34" s="119">
        <f>[1]Sheet4!G132</f>
        <v>94.336666666666602</v>
      </c>
      <c r="D34" s="119">
        <f t="shared" ref="D34:D65" si="1">C34-B34</f>
        <v>31.96</v>
      </c>
    </row>
    <row r="35" spans="1:4" x14ac:dyDescent="0.25">
      <c r="A35" s="119" t="s">
        <v>169</v>
      </c>
      <c r="B35" s="119">
        <f>[1]Sheet4!B133</f>
        <v>74.94</v>
      </c>
      <c r="C35" s="119">
        <f>[1]Sheet4!G133</f>
        <v>94.1</v>
      </c>
      <c r="D35" s="119">
        <f t="shared" si="1"/>
        <v>19.159999999999997</v>
      </c>
    </row>
    <row r="36" spans="1:4" x14ac:dyDescent="0.25">
      <c r="A36" s="119" t="s">
        <v>170</v>
      </c>
      <c r="B36" s="119">
        <f>[1]Sheet4!B134</f>
        <v>88.363333333333003</v>
      </c>
      <c r="C36" s="119">
        <f>[1]Sheet4!G134</f>
        <v>105.84333333333301</v>
      </c>
      <c r="D36" s="119">
        <f t="shared" si="1"/>
        <v>17.480000000000004</v>
      </c>
    </row>
    <row r="37" spans="1:4" x14ac:dyDescent="0.25">
      <c r="A37" s="119" t="s">
        <v>171</v>
      </c>
      <c r="B37" s="119">
        <f>[1]Sheet4!B135</f>
        <v>65.146666666666704</v>
      </c>
      <c r="C37" s="119">
        <f>[1]Sheet4!G135</f>
        <v>97.343333333333305</v>
      </c>
      <c r="D37" s="119">
        <f t="shared" si="1"/>
        <v>32.196666666666601</v>
      </c>
    </row>
    <row r="38" spans="1:4" x14ac:dyDescent="0.25">
      <c r="A38" s="119" t="s">
        <v>172</v>
      </c>
      <c r="B38" s="119">
        <f>[1]Sheet4!B136</f>
        <v>75.543333333333294</v>
      </c>
      <c r="C38" s="119">
        <f>[1]Sheet4!G136</f>
        <v>98.746666666666599</v>
      </c>
      <c r="D38" s="119">
        <f t="shared" si="1"/>
        <v>23.203333333333305</v>
      </c>
    </row>
    <row r="39" spans="1:4" x14ac:dyDescent="0.25">
      <c r="A39" s="119" t="s">
        <v>173</v>
      </c>
      <c r="B39" s="119">
        <f>[1]Sheet4!B137</f>
        <v>82.953333333333305</v>
      </c>
      <c r="C39" s="119">
        <f>[1]Sheet4!G137</f>
        <v>103.346666666666</v>
      </c>
      <c r="D39" s="119">
        <f t="shared" si="1"/>
        <v>20.393333333332691</v>
      </c>
    </row>
    <row r="40" spans="1:4" x14ac:dyDescent="0.25">
      <c r="A40" s="119" t="s">
        <v>174</v>
      </c>
      <c r="B40" s="119">
        <f>[1]Sheet4!B138</f>
        <v>76.989999999999995</v>
      </c>
      <c r="C40" s="119">
        <f>[1]Sheet4!G138</f>
        <v>97.779999999999902</v>
      </c>
      <c r="D40" s="119">
        <f t="shared" si="1"/>
        <v>20.789999999999907</v>
      </c>
    </row>
    <row r="41" spans="1:4" x14ac:dyDescent="0.25">
      <c r="A41" s="119" t="s">
        <v>175</v>
      </c>
      <c r="B41" s="119">
        <f>[1]Sheet4!B139</f>
        <v>58.9033333333333</v>
      </c>
      <c r="C41" s="119">
        <f>[1]Sheet4!G139</f>
        <v>73.16</v>
      </c>
      <c r="D41" s="119">
        <f t="shared" si="1"/>
        <v>14.256666666666696</v>
      </c>
    </row>
    <row r="42" spans="1:4" x14ac:dyDescent="0.25">
      <c r="A42" s="119" t="s">
        <v>176</v>
      </c>
      <c r="B42" s="119">
        <f>[1]Sheet4!B140</f>
        <v>33.906666666666602</v>
      </c>
      <c r="C42" s="119">
        <f>[1]Sheet4!G140</f>
        <v>48.54</v>
      </c>
      <c r="D42" s="119">
        <f t="shared" si="1"/>
        <v>14.633333333333397</v>
      </c>
    </row>
    <row r="43" spans="1:4" x14ac:dyDescent="0.25">
      <c r="A43" s="119" t="s">
        <v>177</v>
      </c>
      <c r="B43" s="119">
        <f>[1]Sheet4!B141</f>
        <v>46.35</v>
      </c>
      <c r="C43" s="119">
        <f>[1]Sheet4!G141</f>
        <v>57.8466666666666</v>
      </c>
      <c r="D43" s="119">
        <f t="shared" si="1"/>
        <v>11.496666666666599</v>
      </c>
    </row>
    <row r="44" spans="1:4" x14ac:dyDescent="0.25">
      <c r="A44" s="119" t="s">
        <v>178</v>
      </c>
      <c r="B44" s="119">
        <f>[1]Sheet4!B142</f>
        <v>33.156666666666602</v>
      </c>
      <c r="C44" s="119">
        <f>[1]Sheet4!G142</f>
        <v>46.4166666666666</v>
      </c>
      <c r="D44" s="119">
        <f t="shared" si="1"/>
        <v>13.259999999999998</v>
      </c>
    </row>
    <row r="45" spans="1:4" x14ac:dyDescent="0.25">
      <c r="A45" s="119" t="s">
        <v>179</v>
      </c>
      <c r="B45" s="119">
        <f>[1]Sheet4!B143</f>
        <v>27.69</v>
      </c>
      <c r="C45" s="119">
        <f>[1]Sheet4!G143</f>
        <v>41.95</v>
      </c>
      <c r="D45" s="119">
        <f t="shared" si="1"/>
        <v>14.260000000000002</v>
      </c>
    </row>
    <row r="46" spans="1:4" x14ac:dyDescent="0.25">
      <c r="A46" s="119" t="s">
        <v>180</v>
      </c>
      <c r="B46" s="119">
        <f>[1]Sheet4!B144</f>
        <v>20.14</v>
      </c>
      <c r="C46" s="119">
        <f>[1]Sheet4!G144</f>
        <v>33.183333333333302</v>
      </c>
      <c r="D46" s="119">
        <f t="shared" si="1"/>
        <v>13.043333333333301</v>
      </c>
    </row>
    <row r="47" spans="1:4" x14ac:dyDescent="0.25">
      <c r="A47" s="119" t="s">
        <v>181</v>
      </c>
      <c r="B47" s="119">
        <f>[1]Sheet4!B145</f>
        <v>32.836666666666602</v>
      </c>
      <c r="C47" s="119">
        <f>[1]Sheet4!G145</f>
        <v>45.406666666666602</v>
      </c>
      <c r="D47" s="119">
        <f t="shared" si="1"/>
        <v>12.57</v>
      </c>
    </row>
    <row r="48" spans="1:4" x14ac:dyDescent="0.25">
      <c r="A48" s="119" t="s">
        <v>182</v>
      </c>
      <c r="B48" s="119">
        <f>[1]Sheet4!B146</f>
        <v>30.713333333333299</v>
      </c>
      <c r="C48" s="119">
        <f>[1]Sheet4!G146</f>
        <v>44.85</v>
      </c>
      <c r="D48" s="119">
        <f t="shared" si="1"/>
        <v>14.136666666666702</v>
      </c>
    </row>
    <row r="49" spans="1:4" x14ac:dyDescent="0.25">
      <c r="A49" s="119" t="s">
        <v>183</v>
      </c>
      <c r="B49" s="119">
        <f>[1]Sheet4!B147</f>
        <v>34.43</v>
      </c>
      <c r="C49" s="119">
        <f>[1]Sheet4!G147</f>
        <v>49.136666666666599</v>
      </c>
      <c r="D49" s="119">
        <f t="shared" si="1"/>
        <v>14.706666666666599</v>
      </c>
    </row>
    <row r="50" spans="1:4" x14ac:dyDescent="0.25">
      <c r="A50" s="119" t="s">
        <v>184</v>
      </c>
      <c r="B50" s="119">
        <f>[1]Sheet4!B148</f>
        <v>38.163333333333298</v>
      </c>
      <c r="C50" s="119">
        <f>[1]Sheet4!G148</f>
        <v>51.766666666666602</v>
      </c>
      <c r="D50" s="119">
        <f t="shared" si="1"/>
        <v>13.603333333333303</v>
      </c>
    </row>
    <row r="51" spans="1:4" x14ac:dyDescent="0.25">
      <c r="A51" s="119" t="s">
        <v>185</v>
      </c>
      <c r="B51" s="119">
        <f>[1]Sheet4!B149</f>
        <v>38.396666666666597</v>
      </c>
      <c r="C51" s="119">
        <f>[1]Sheet4!G149</f>
        <v>48.24</v>
      </c>
      <c r="D51" s="119">
        <f t="shared" si="1"/>
        <v>9.8433333333334048</v>
      </c>
    </row>
    <row r="52" spans="1:4" x14ac:dyDescent="0.25">
      <c r="A52" s="119" t="s">
        <v>186</v>
      </c>
      <c r="B52" s="119">
        <f>[1]Sheet4!B150</f>
        <v>37.659999999999997</v>
      </c>
      <c r="C52" s="119">
        <f>[1]Sheet4!G150</f>
        <v>48.163333333333298</v>
      </c>
      <c r="D52" s="119">
        <f t="shared" si="1"/>
        <v>10.503333333333302</v>
      </c>
    </row>
    <row r="53" spans="1:4" x14ac:dyDescent="0.25">
      <c r="A53" s="119" t="s">
        <v>187</v>
      </c>
      <c r="B53" s="119">
        <f>[1]Sheet4!B151</f>
        <v>38.58</v>
      </c>
      <c r="C53" s="119">
        <f>[1]Sheet4!G151</f>
        <v>55.366666666666603</v>
      </c>
      <c r="D53" s="119">
        <f t="shared" si="1"/>
        <v>16.786666666666605</v>
      </c>
    </row>
    <row r="54" spans="1:4" x14ac:dyDescent="0.25">
      <c r="A54" s="119" t="s">
        <v>188</v>
      </c>
      <c r="B54" s="119">
        <f>[1]Sheet4!B152</f>
        <v>36.966666666666598</v>
      </c>
      <c r="C54" s="119">
        <f>[1]Sheet4!G152</f>
        <v>62.886666666666599</v>
      </c>
      <c r="D54" s="119">
        <f t="shared" si="1"/>
        <v>25.92</v>
      </c>
    </row>
    <row r="55" spans="1:4" x14ac:dyDescent="0.25">
      <c r="A55" s="119" t="s">
        <v>133</v>
      </c>
      <c r="B55" s="119">
        <f>[1]Sheet4!B153</f>
        <v>49.6666666666666</v>
      </c>
      <c r="C55" s="119">
        <f>[1]Sheet4!G153</f>
        <v>68.033333333333303</v>
      </c>
      <c r="D55" s="119">
        <f t="shared" si="1"/>
        <v>18.366666666666703</v>
      </c>
    </row>
    <row r="56" spans="1:4" x14ac:dyDescent="0.25">
      <c r="A56" s="119" t="s">
        <v>132</v>
      </c>
      <c r="B56" s="119">
        <f>[1]Sheet4!B154</f>
        <v>41.853333333333303</v>
      </c>
      <c r="C56" s="119">
        <f>[1]Sheet4!G154</f>
        <v>69.756666666666604</v>
      </c>
      <c r="D56" s="119">
        <f t="shared" si="1"/>
        <v>27.9033333333333</v>
      </c>
    </row>
    <row r="57" spans="1:4" x14ac:dyDescent="0.25">
      <c r="A57" s="119" t="s">
        <v>131</v>
      </c>
      <c r="B57" s="119">
        <f>[1]Sheet4!B155</f>
        <v>27.233666666666601</v>
      </c>
      <c r="C57" s="119">
        <f>[1]Sheet4!G155</f>
        <v>72.0803333333333</v>
      </c>
      <c r="D57" s="119">
        <f t="shared" si="1"/>
        <v>44.8466666666667</v>
      </c>
    </row>
    <row r="58" spans="1:4" x14ac:dyDescent="0.25">
      <c r="A58" s="119" t="s">
        <v>130</v>
      </c>
      <c r="B58" s="119">
        <f>[1]Sheet4!B156</f>
        <v>34.603666666666598</v>
      </c>
      <c r="C58" s="119">
        <f>[1]Sheet4!G156</f>
        <v>71.853666666666598</v>
      </c>
      <c r="D58" s="119">
        <f t="shared" si="1"/>
        <v>37.25</v>
      </c>
    </row>
    <row r="59" spans="1:4" x14ac:dyDescent="0.25">
      <c r="A59" s="119" t="s">
        <v>129</v>
      </c>
      <c r="B59" s="119">
        <f>[1]Sheet4!B157</f>
        <v>42.306666666666601</v>
      </c>
      <c r="C59" s="119">
        <f>[1]Sheet4!G157</f>
        <v>71.656666666666595</v>
      </c>
      <c r="D59" s="119">
        <f t="shared" si="1"/>
        <v>29.349999999999994</v>
      </c>
    </row>
    <row r="60" spans="1:4" x14ac:dyDescent="0.25">
      <c r="A60" s="119" t="s">
        <v>128</v>
      </c>
      <c r="B60" s="119">
        <f>[1]Sheet4!B158</f>
        <v>44.151000000000003</v>
      </c>
      <c r="C60" s="119">
        <f>[1]Sheet4!G158</f>
        <v>71.150999999999996</v>
      </c>
      <c r="D60" s="119">
        <f t="shared" si="1"/>
        <v>26.999999999999993</v>
      </c>
    </row>
    <row r="61" spans="1:4" x14ac:dyDescent="0.25">
      <c r="A61" s="119" t="s">
        <v>127</v>
      </c>
      <c r="B61" s="119">
        <f>[1]Sheet4!B159</f>
        <v>42.720333333333301</v>
      </c>
      <c r="C61" s="119">
        <f>[1]Sheet4!G159</f>
        <v>70.320333333333295</v>
      </c>
      <c r="D61" s="119">
        <f t="shared" si="1"/>
        <v>27.599999999999994</v>
      </c>
    </row>
    <row r="62" spans="1:4" x14ac:dyDescent="0.25">
      <c r="A62" s="119" t="s">
        <v>126</v>
      </c>
      <c r="B62" s="119">
        <f>[1]Sheet4!B160</f>
        <v>41.442666666666597</v>
      </c>
      <c r="C62" s="119">
        <f>[1]Sheet4!G160</f>
        <v>69.292666666666605</v>
      </c>
      <c r="D62" s="119">
        <f t="shared" si="1"/>
        <v>27.850000000000009</v>
      </c>
    </row>
    <row r="63" spans="1:4" x14ac:dyDescent="0.25">
      <c r="A63" s="119" t="s">
        <v>125</v>
      </c>
      <c r="B63" s="119">
        <f>[1]Sheet4!B161</f>
        <v>40.4553333333333</v>
      </c>
      <c r="C63" s="119">
        <f>[1]Sheet4!G161</f>
        <v>68.305333333333294</v>
      </c>
      <c r="D63" s="119">
        <f t="shared" si="1"/>
        <v>27.849999999999994</v>
      </c>
    </row>
    <row r="64" spans="1:4" x14ac:dyDescent="0.25">
      <c r="A64" s="119" t="s">
        <v>124</v>
      </c>
      <c r="B64" s="119">
        <f>[1]Sheet4!B162</f>
        <v>39.468000000000004</v>
      </c>
      <c r="C64" s="119">
        <f>[1]Sheet4!G162</f>
        <v>67.317999999999998</v>
      </c>
      <c r="D64" s="119">
        <f t="shared" si="1"/>
        <v>27.849999999999994</v>
      </c>
    </row>
    <row r="65" spans="1:4" x14ac:dyDescent="0.25">
      <c r="A65" s="119" t="s">
        <v>123</v>
      </c>
      <c r="B65" s="119">
        <f>[1]Sheet4!B163</f>
        <v>38.691561055280602</v>
      </c>
      <c r="C65" s="119">
        <f>[1]Sheet4!G163</f>
        <v>66.541561055280596</v>
      </c>
      <c r="D65" s="119">
        <f t="shared" si="1"/>
        <v>27.849999999999994</v>
      </c>
    </row>
    <row r="66" spans="1:4" x14ac:dyDescent="0.25">
      <c r="A66" s="119" t="s">
        <v>122</v>
      </c>
      <c r="B66" s="119">
        <f>[1]Sheet4!B164</f>
        <v>38.890653831884698</v>
      </c>
      <c r="C66" s="119">
        <f>[1]Sheet4!G164</f>
        <v>66.7406538318847</v>
      </c>
      <c r="D66" s="119">
        <f t="shared" ref="D66:D97" si="2">C66-B66</f>
        <v>27.85</v>
      </c>
    </row>
    <row r="67" spans="1:4" x14ac:dyDescent="0.25">
      <c r="A67" s="119" t="s">
        <v>121</v>
      </c>
      <c r="B67" s="119">
        <f>[1]Sheet4!B165</f>
        <v>39.221883130003199</v>
      </c>
      <c r="C67" s="119">
        <f>[1]Sheet4!G165</f>
        <v>67.071883130003201</v>
      </c>
      <c r="D67" s="119">
        <f t="shared" si="2"/>
        <v>27.85</v>
      </c>
    </row>
    <row r="68" spans="1:4" x14ac:dyDescent="0.25">
      <c r="A68" s="119" t="s">
        <v>120</v>
      </c>
      <c r="B68" s="119">
        <f>[1]Sheet4!B166</f>
        <v>39.554756296463403</v>
      </c>
      <c r="C68" s="119">
        <f>[1]Sheet4!G166</f>
        <v>67.404756296463404</v>
      </c>
      <c r="D68" s="119">
        <f t="shared" si="2"/>
        <v>27.85</v>
      </c>
    </row>
    <row r="69" spans="1:4" x14ac:dyDescent="0.25">
      <c r="A69" s="119" t="s">
        <v>119</v>
      </c>
      <c r="B69" s="119">
        <f>[1]Sheet4!B167</f>
        <v>39.889281489671198</v>
      </c>
      <c r="C69" s="119">
        <f>[1]Sheet4!G167</f>
        <v>67.7392814896712</v>
      </c>
      <c r="D69" s="119">
        <f t="shared" si="2"/>
        <v>27.85</v>
      </c>
    </row>
    <row r="70" spans="1:4" x14ac:dyDescent="0.25">
      <c r="A70" s="119" t="s">
        <v>118</v>
      </c>
      <c r="B70" s="119">
        <f>[1]Sheet4!B168</f>
        <v>40.225466908522399</v>
      </c>
      <c r="C70" s="119">
        <f>[1]Sheet4!G168</f>
        <v>68.075466908522401</v>
      </c>
      <c r="D70" s="119">
        <f t="shared" si="2"/>
        <v>27.85</v>
      </c>
    </row>
    <row r="71" spans="1:4" x14ac:dyDescent="0.25">
      <c r="A71" s="119" t="s">
        <v>117</v>
      </c>
      <c r="B71" s="119">
        <f>[1]Sheet4!B169</f>
        <v>40.563320792603299</v>
      </c>
      <c r="C71" s="119">
        <f>[1]Sheet4!G169</f>
        <v>68.413320792603301</v>
      </c>
      <c r="D71" s="119">
        <f t="shared" si="2"/>
        <v>27.85</v>
      </c>
    </row>
    <row r="72" spans="1:4" x14ac:dyDescent="0.25">
      <c r="A72" s="119" t="s">
        <v>116</v>
      </c>
      <c r="B72" s="119">
        <f>[1]Sheet4!B170</f>
        <v>40.9028514223927</v>
      </c>
      <c r="C72" s="119">
        <f>[1]Sheet4!G170</f>
        <v>68.752851422392695</v>
      </c>
      <c r="D72" s="119">
        <f t="shared" si="2"/>
        <v>27.849999999999994</v>
      </c>
    </row>
    <row r="73" spans="1:4" x14ac:dyDescent="0.25">
      <c r="A73" s="119" t="s">
        <v>115</v>
      </c>
      <c r="B73" s="119">
        <f>[1]Sheet4!B171</f>
        <v>41.244067119464603</v>
      </c>
      <c r="C73" s="119">
        <f>[1]Sheet4!G171</f>
        <v>69.094067119464597</v>
      </c>
      <c r="D73" s="119">
        <f t="shared" si="2"/>
        <v>27.849999999999994</v>
      </c>
    </row>
    <row r="74" spans="1:4" x14ac:dyDescent="0.25">
      <c r="A74" s="119" t="s">
        <v>114</v>
      </c>
      <c r="B74" s="119">
        <f>[1]Sheet4!B172</f>
        <v>41.586976246692899</v>
      </c>
      <c r="C74" s="119">
        <f>[1]Sheet4!G172</f>
        <v>69.436976246692794</v>
      </c>
      <c r="D74" s="119">
        <f t="shared" si="2"/>
        <v>27.849999999999895</v>
      </c>
    </row>
    <row r="75" spans="1:4" x14ac:dyDescent="0.25">
      <c r="A75" s="119" t="s">
        <v>113</v>
      </c>
      <c r="B75" s="119">
        <f>[1]Sheet4!B173</f>
        <v>41.931587208455397</v>
      </c>
      <c r="C75" s="119">
        <f>[1]Sheet4!G173</f>
        <v>69.781587208455406</v>
      </c>
      <c r="D75" s="119">
        <f t="shared" si="2"/>
        <v>27.850000000000009</v>
      </c>
    </row>
    <row r="76" spans="1:4" x14ac:dyDescent="0.25">
      <c r="A76" s="119" t="s">
        <v>112</v>
      </c>
      <c r="B76" s="119">
        <f>[1]Sheet4!B174</f>
        <v>42.277908450840499</v>
      </c>
      <c r="C76" s="119">
        <f>[1]Sheet4!G174</f>
        <v>70.127908450840394</v>
      </c>
      <c r="D76" s="119">
        <f t="shared" si="2"/>
        <v>27.849999999999895</v>
      </c>
    </row>
    <row r="77" spans="1:4" x14ac:dyDescent="0.25">
      <c r="A77" s="119" t="s">
        <v>111</v>
      </c>
      <c r="B77" s="119">
        <f>[1]Sheet4!B175</f>
        <v>42.625948461853902</v>
      </c>
      <c r="C77" s="119">
        <f>[1]Sheet4!G175</f>
        <v>70.475948461853903</v>
      </c>
      <c r="D77" s="119">
        <f t="shared" si="2"/>
        <v>27.85</v>
      </c>
    </row>
    <row r="78" spans="1:4" x14ac:dyDescent="0.25">
      <c r="A78" s="119" t="s">
        <v>110</v>
      </c>
      <c r="B78" s="119">
        <f>[1]Sheet4!B176</f>
        <v>42.975715771626803</v>
      </c>
      <c r="C78" s="119">
        <f>[1]Sheet4!G176</f>
        <v>70.825715771626804</v>
      </c>
      <c r="D78" s="119">
        <f t="shared" si="2"/>
        <v>27.85</v>
      </c>
    </row>
    <row r="79" spans="1:4" x14ac:dyDescent="0.25">
      <c r="A79" s="119" t="s">
        <v>109</v>
      </c>
      <c r="B79" s="119">
        <f>[1]Sheet4!B177</f>
        <v>43.327218952624499</v>
      </c>
      <c r="C79" s="119">
        <f>[1]Sheet4!G177</f>
        <v>71.1772189526245</v>
      </c>
      <c r="D79" s="119">
        <f t="shared" si="2"/>
        <v>27.85</v>
      </c>
    </row>
    <row r="80" spans="1:4" x14ac:dyDescent="0.25">
      <c r="A80" s="119" t="s">
        <v>108</v>
      </c>
      <c r="B80" s="119">
        <f>[1]Sheet4!B178</f>
        <v>43.680466619857299</v>
      </c>
      <c r="C80" s="119">
        <f>[1]Sheet4!G178</f>
        <v>71.530466619857194</v>
      </c>
      <c r="D80" s="119">
        <f t="shared" si="2"/>
        <v>27.849999999999895</v>
      </c>
    </row>
    <row r="81" spans="1:4" x14ac:dyDescent="0.25">
      <c r="A81" s="119" t="s">
        <v>107</v>
      </c>
      <c r="B81" s="119">
        <f>[1]Sheet4!B179</f>
        <v>44.035467431091</v>
      </c>
      <c r="C81" s="119">
        <f>[1]Sheet4!G179</f>
        <v>71.885467431091001</v>
      </c>
      <c r="D81" s="119">
        <f t="shared" si="2"/>
        <v>27.85</v>
      </c>
    </row>
    <row r="82" spans="1:4" x14ac:dyDescent="0.25">
      <c r="A82" s="119" t="s">
        <v>106</v>
      </c>
      <c r="B82" s="119">
        <f>[1]Sheet4!B180</f>
        <v>44.392230087059303</v>
      </c>
      <c r="C82" s="119">
        <f>[1]Sheet4!G180</f>
        <v>72.242230087059298</v>
      </c>
      <c r="D82" s="119">
        <f t="shared" si="2"/>
        <v>27.849999999999994</v>
      </c>
    </row>
    <row r="83" spans="1:4" x14ac:dyDescent="0.25">
      <c r="A83" s="119" t="s">
        <v>105</v>
      </c>
      <c r="B83" s="119">
        <f>[1]Sheet4!B181</f>
        <v>44.750763331677099</v>
      </c>
      <c r="C83" s="119">
        <f>[1]Sheet4!G181</f>
        <v>72.600763331677101</v>
      </c>
      <c r="D83" s="119">
        <f t="shared" si="2"/>
        <v>27.85</v>
      </c>
    </row>
    <row r="84" spans="1:4" x14ac:dyDescent="0.25">
      <c r="A84" s="119" t="s">
        <v>104</v>
      </c>
      <c r="B84" s="119">
        <f>[1]Sheet4!B182</f>
        <v>45.111075952254502</v>
      </c>
      <c r="C84" s="119">
        <f>[1]Sheet4!G182</f>
        <v>72.961075952254504</v>
      </c>
      <c r="D84" s="119">
        <f t="shared" si="2"/>
        <v>27.85</v>
      </c>
    </row>
    <row r="85" spans="1:4" x14ac:dyDescent="0.25">
      <c r="A85" s="119" t="s">
        <v>103</v>
      </c>
      <c r="B85" s="119">
        <f>[1]Sheet4!B183</f>
        <v>45.473176779712901</v>
      </c>
      <c r="C85" s="119">
        <f>[1]Sheet4!G183</f>
        <v>73.323176779712895</v>
      </c>
      <c r="D85" s="119">
        <f t="shared" si="2"/>
        <v>27.849999999999994</v>
      </c>
    </row>
    <row r="86" spans="1:4" x14ac:dyDescent="0.25">
      <c r="A86" s="119" t="s">
        <v>102</v>
      </c>
      <c r="B86" s="119">
        <f>[1]Sheet4!B184</f>
        <v>45.837074688800598</v>
      </c>
      <c r="C86" s="119">
        <f>[1]Sheet4!G184</f>
        <v>73.687074688800607</v>
      </c>
      <c r="D86" s="119">
        <f t="shared" si="2"/>
        <v>27.850000000000009</v>
      </c>
    </row>
    <row r="87" spans="1:4" x14ac:dyDescent="0.25">
      <c r="A87" s="119" t="s">
        <v>101</v>
      </c>
      <c r="B87" s="119">
        <f>[1]Sheet4!B185</f>
        <v>46.202778598310701</v>
      </c>
      <c r="C87" s="119">
        <f>[1]Sheet4!G185</f>
        <v>74.052778598310695</v>
      </c>
      <c r="D87" s="119">
        <f t="shared" si="2"/>
        <v>27.849999999999994</v>
      </c>
    </row>
    <row r="88" spans="1:4" x14ac:dyDescent="0.25">
      <c r="A88" s="119" t="s">
        <v>100</v>
      </c>
      <c r="B88" s="119">
        <f>[1]Sheet4!B186</f>
        <v>46.570297471299703</v>
      </c>
      <c r="C88" s="119">
        <f>[1]Sheet4!G186</f>
        <v>74.420297471299705</v>
      </c>
      <c r="D88" s="119">
        <f t="shared" si="2"/>
        <v>27.85</v>
      </c>
    </row>
    <row r="89" spans="1:4" x14ac:dyDescent="0.25">
      <c r="A89" s="119" t="s">
        <v>99</v>
      </c>
      <c r="B89" s="119">
        <f>[1]Sheet4!B187</f>
        <v>46.939640315307201</v>
      </c>
      <c r="C89" s="119">
        <f>[1]Sheet4!G187</f>
        <v>74.789640315307196</v>
      </c>
      <c r="D89" s="119">
        <f t="shared" si="2"/>
        <v>27.849999999999994</v>
      </c>
    </row>
    <row r="90" spans="1:4" x14ac:dyDescent="0.25">
      <c r="A90" s="119" t="s">
        <v>98</v>
      </c>
      <c r="B90" s="119">
        <f>[1]Sheet4!B188</f>
        <v>47.310816182576602</v>
      </c>
      <c r="C90" s="119">
        <f>[1]Sheet4!G188</f>
        <v>75.160816182576596</v>
      </c>
      <c r="D90" s="119">
        <f t="shared" si="2"/>
        <v>27.849999999999994</v>
      </c>
    </row>
    <row r="91" spans="1:4" x14ac:dyDescent="0.25">
      <c r="A91" s="119" t="s">
        <v>97</v>
      </c>
      <c r="B91" s="119">
        <f>[1]Sheet4!B189</f>
        <v>47.683834170276903</v>
      </c>
      <c r="C91" s="119">
        <f>[1]Sheet4!G189</f>
        <v>75.533834170276904</v>
      </c>
      <c r="D91" s="119">
        <f t="shared" si="2"/>
        <v>27.85</v>
      </c>
    </row>
    <row r="92" spans="1:4" x14ac:dyDescent="0.25">
      <c r="A92" s="119" t="s">
        <v>96</v>
      </c>
      <c r="B92" s="119">
        <f>[1]Sheet4!B190</f>
        <v>48.058703420725699</v>
      </c>
      <c r="C92" s="119">
        <f>[1]Sheet4!G190</f>
        <v>75.908703420725701</v>
      </c>
      <c r="D92" s="119">
        <f t="shared" si="2"/>
        <v>27.85</v>
      </c>
    </row>
    <row r="93" spans="1:4" x14ac:dyDescent="0.25">
      <c r="A93" s="119" t="s">
        <v>95</v>
      </c>
      <c r="B93" s="119">
        <f>[1]Sheet4!B191</f>
        <v>48.4354331216134</v>
      </c>
      <c r="C93" s="119">
        <f>[1]Sheet4!G191</f>
        <v>76.285433121613394</v>
      </c>
      <c r="D93" s="119">
        <f t="shared" si="2"/>
        <v>27.849999999999994</v>
      </c>
    </row>
    <row r="94" spans="1:4" x14ac:dyDescent="0.25">
      <c r="A94" s="119" t="s">
        <v>94</v>
      </c>
      <c r="B94" s="119">
        <f>[1]Sheet4!B192</f>
        <v>48.814032506228202</v>
      </c>
      <c r="C94" s="119">
        <f>[1]Sheet4!G192</f>
        <v>76.664032506228196</v>
      </c>
      <c r="D94" s="119">
        <f t="shared" si="2"/>
        <v>27.849999999999994</v>
      </c>
    </row>
    <row r="95" spans="1:4" x14ac:dyDescent="0.25">
      <c r="A95" s="119" t="s">
        <v>93</v>
      </c>
      <c r="B95" s="119">
        <f>[1]Sheet4!B193</f>
        <v>49.194510853682502</v>
      </c>
      <c r="C95" s="119">
        <f>[1]Sheet4!G193</f>
        <v>77.044510853682496</v>
      </c>
      <c r="D95" s="119">
        <f t="shared" si="2"/>
        <v>27.849999999999994</v>
      </c>
    </row>
    <row r="96" spans="1:4" x14ac:dyDescent="0.25">
      <c r="A96" s="119" t="s">
        <v>92</v>
      </c>
      <c r="B96" s="119">
        <f>[1]Sheet4!B194</f>
        <v>49.576877489140301</v>
      </c>
      <c r="C96" s="119">
        <f>[1]Sheet4!G194</f>
        <v>77.426877489140296</v>
      </c>
      <c r="D96" s="119">
        <f t="shared" si="2"/>
        <v>27.849999999999994</v>
      </c>
    </row>
    <row r="97" spans="1:4" x14ac:dyDescent="0.25">
      <c r="A97" s="119" t="s">
        <v>91</v>
      </c>
      <c r="B97" s="119">
        <f>[1]Sheet4!B195</f>
        <v>49.961141784045701</v>
      </c>
      <c r="C97" s="119">
        <f>[1]Sheet4!G195</f>
        <v>77.811141784045702</v>
      </c>
      <c r="D97" s="119">
        <f t="shared" si="2"/>
        <v>27.85</v>
      </c>
    </row>
    <row r="98" spans="1:4" x14ac:dyDescent="0.25">
      <c r="A98" s="119" t="s">
        <v>90</v>
      </c>
      <c r="B98" s="119">
        <f>[1]Sheet4!B196</f>
        <v>50.347313156352797</v>
      </c>
      <c r="C98" s="119">
        <f>[1]Sheet4!G196</f>
        <v>78.197313156352806</v>
      </c>
      <c r="D98" s="119">
        <f t="shared" ref="D98:D105" si="3">C98-B98</f>
        <v>27.850000000000009</v>
      </c>
    </row>
    <row r="99" spans="1:4" x14ac:dyDescent="0.25">
      <c r="A99" s="119" t="s">
        <v>89</v>
      </c>
      <c r="B99" s="119">
        <f>[1]Sheet4!B197</f>
        <v>50.735401070756197</v>
      </c>
      <c r="C99" s="119">
        <f>[1]Sheet4!G197</f>
        <v>78.585401070756205</v>
      </c>
      <c r="D99" s="119">
        <f t="shared" si="3"/>
        <v>27.850000000000009</v>
      </c>
    </row>
    <row r="100" spans="1:4" x14ac:dyDescent="0.25">
      <c r="A100" s="119" t="s">
        <v>88</v>
      </c>
      <c r="B100" s="119">
        <f>[1]Sheet4!B198</f>
        <v>51.125415038923101</v>
      </c>
      <c r="C100" s="119">
        <f>[1]Sheet4!G198</f>
        <v>78.975415038923103</v>
      </c>
      <c r="D100" s="119">
        <f t="shared" si="3"/>
        <v>27.85</v>
      </c>
    </row>
    <row r="101" spans="1:4" x14ac:dyDescent="0.25">
      <c r="A101" s="119" t="s">
        <v>87</v>
      </c>
      <c r="B101" s="119">
        <f>[1]Sheet4!B199</f>
        <v>51.517364619726699</v>
      </c>
      <c r="C101" s="119">
        <f>[1]Sheet4!G199</f>
        <v>79.3673646197267</v>
      </c>
      <c r="D101" s="119">
        <f t="shared" si="3"/>
        <v>27.85</v>
      </c>
    </row>
    <row r="102" spans="1:4" x14ac:dyDescent="0.25">
      <c r="A102" s="119" t="s">
        <v>86</v>
      </c>
      <c r="B102" s="119">
        <f>[1]Sheet4!B200</f>
        <v>0</v>
      </c>
      <c r="C102" s="119">
        <f>[1]Sheet4!G200</f>
        <v>0</v>
      </c>
      <c r="D102" s="119">
        <f t="shared" si="3"/>
        <v>0</v>
      </c>
    </row>
    <row r="103" spans="1:4" x14ac:dyDescent="0.25">
      <c r="A103" s="119" t="s">
        <v>85</v>
      </c>
      <c r="B103" s="119">
        <f>[1]Sheet4!B201</f>
        <v>0</v>
      </c>
      <c r="C103" s="119">
        <f>[1]Sheet4!G201</f>
        <v>0</v>
      </c>
      <c r="D103" s="119">
        <f t="shared" si="3"/>
        <v>0</v>
      </c>
    </row>
    <row r="104" spans="1:4" x14ac:dyDescent="0.25">
      <c r="A104" s="119" t="s">
        <v>84</v>
      </c>
      <c r="B104" s="119">
        <f>[1]Sheet4!B202</f>
        <v>0</v>
      </c>
      <c r="C104" s="119">
        <f>[1]Sheet4!G202</f>
        <v>0</v>
      </c>
      <c r="D104" s="119">
        <f t="shared" si="3"/>
        <v>0</v>
      </c>
    </row>
    <row r="105" spans="1:4" x14ac:dyDescent="0.25">
      <c r="A105" s="119" t="s">
        <v>83</v>
      </c>
      <c r="B105" s="119">
        <f>[1]Sheet4!B203</f>
        <v>0</v>
      </c>
      <c r="C105" s="119">
        <f>[1]Sheet4!G203</f>
        <v>0</v>
      </c>
      <c r="D105" s="119">
        <f t="shared" si="3"/>
        <v>0</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EA4C-4091-4707-B3D4-49C20990CFE4}">
  <sheetPr codeName="Sheet6"/>
  <dimension ref="A1:J51"/>
  <sheetViews>
    <sheetView workbookViewId="0">
      <selection activeCell="C11" sqref="C11"/>
    </sheetView>
  </sheetViews>
  <sheetFormatPr defaultColWidth="9" defaultRowHeight="14.25" x14ac:dyDescent="0.2"/>
  <cols>
    <col min="1" max="1" width="10" style="122" bestFit="1" customWidth="1"/>
    <col min="2" max="2" width="19.5703125" style="121" bestFit="1" customWidth="1"/>
    <col min="3" max="3" width="51.140625" style="121" bestFit="1" customWidth="1"/>
    <col min="4" max="4" width="56.42578125" style="121" bestFit="1" customWidth="1"/>
    <col min="5" max="5" width="15.7109375" style="121" bestFit="1" customWidth="1"/>
    <col min="6" max="6" width="9" style="121"/>
    <col min="7" max="9" width="9" style="129"/>
    <col min="10" max="16384" width="9" style="121"/>
  </cols>
  <sheetData>
    <row r="1" spans="1:10" ht="15" x14ac:dyDescent="0.25">
      <c r="A1" s="120" t="s">
        <v>39</v>
      </c>
      <c r="B1" s="120" t="s">
        <v>366</v>
      </c>
      <c r="C1" s="120" t="s">
        <v>367</v>
      </c>
      <c r="D1" s="120" t="s">
        <v>368</v>
      </c>
      <c r="E1" s="120" t="s">
        <v>369</v>
      </c>
      <c r="F1" s="120" t="s">
        <v>322</v>
      </c>
      <c r="G1" s="120" t="s">
        <v>38</v>
      </c>
      <c r="H1" s="120" t="s">
        <v>37</v>
      </c>
      <c r="I1" s="120" t="s">
        <v>36</v>
      </c>
    </row>
    <row r="2" spans="1:10" ht="15" x14ac:dyDescent="0.25">
      <c r="A2" s="120"/>
      <c r="B2" s="148" t="s">
        <v>370</v>
      </c>
      <c r="C2" s="148"/>
      <c r="D2" s="120"/>
      <c r="E2" s="120"/>
      <c r="F2" s="120"/>
      <c r="G2" s="120"/>
      <c r="H2" s="120"/>
      <c r="I2" s="120"/>
    </row>
    <row r="3" spans="1:10" ht="28.5" x14ac:dyDescent="0.2">
      <c r="A3" s="122">
        <v>43139</v>
      </c>
      <c r="B3" s="121" t="s">
        <v>31</v>
      </c>
      <c r="C3" s="121" t="s">
        <v>35</v>
      </c>
      <c r="D3" s="121" t="s">
        <v>372</v>
      </c>
      <c r="E3" s="123">
        <v>1610</v>
      </c>
      <c r="F3" s="121" t="s">
        <v>386</v>
      </c>
      <c r="G3" s="124" t="s">
        <v>383</v>
      </c>
      <c r="H3" s="125"/>
      <c r="I3" s="125"/>
      <c r="J3" s="121">
        <v>13.4</v>
      </c>
    </row>
    <row r="4" spans="1:10" x14ac:dyDescent="0.2">
      <c r="A4" s="122">
        <v>43000</v>
      </c>
      <c r="B4" s="121" t="s">
        <v>34</v>
      </c>
      <c r="C4" s="121" t="s">
        <v>33</v>
      </c>
      <c r="D4" s="121" t="s">
        <v>33</v>
      </c>
      <c r="E4" s="123">
        <v>9700</v>
      </c>
      <c r="F4" s="121" t="s">
        <v>387</v>
      </c>
      <c r="G4" s="126" t="s">
        <v>384</v>
      </c>
      <c r="H4" s="125" t="s">
        <v>385</v>
      </c>
      <c r="I4" s="127" t="s">
        <v>10</v>
      </c>
      <c r="J4" s="121">
        <v>15.8</v>
      </c>
    </row>
    <row r="5" spans="1:10" x14ac:dyDescent="0.2">
      <c r="A5" s="122">
        <v>42795</v>
      </c>
      <c r="B5" s="121" t="s">
        <v>4</v>
      </c>
      <c r="C5" s="121" t="s">
        <v>32</v>
      </c>
      <c r="D5" s="121" t="s">
        <v>373</v>
      </c>
      <c r="E5" s="121">
        <v>219</v>
      </c>
      <c r="F5" s="121" t="s">
        <v>6</v>
      </c>
      <c r="G5" s="126" t="s">
        <v>384</v>
      </c>
      <c r="H5" s="125"/>
      <c r="I5" s="125"/>
    </row>
    <row r="6" spans="1:10" x14ac:dyDescent="0.2">
      <c r="A6" s="122">
        <v>42565</v>
      </c>
      <c r="B6" s="121" t="s">
        <v>31</v>
      </c>
      <c r="C6" s="121" t="s">
        <v>30</v>
      </c>
      <c r="D6" s="121" t="s">
        <v>374</v>
      </c>
      <c r="E6" s="123">
        <v>1400</v>
      </c>
      <c r="F6" s="121" t="s">
        <v>388</v>
      </c>
      <c r="G6" s="126" t="s">
        <v>384</v>
      </c>
      <c r="H6" s="125" t="s">
        <v>385</v>
      </c>
      <c r="I6" s="125"/>
      <c r="J6" s="121">
        <v>10.1</v>
      </c>
    </row>
    <row r="7" spans="1:10" x14ac:dyDescent="0.2">
      <c r="A7" s="122">
        <v>42650</v>
      </c>
      <c r="B7" s="121" t="s">
        <v>29</v>
      </c>
      <c r="C7" s="121" t="s">
        <v>28</v>
      </c>
      <c r="D7" s="121" t="s">
        <v>375</v>
      </c>
      <c r="E7" s="123">
        <v>1470</v>
      </c>
      <c r="F7" s="121" t="s">
        <v>389</v>
      </c>
      <c r="G7" s="124" t="s">
        <v>384</v>
      </c>
      <c r="H7" s="128" t="s">
        <v>10</v>
      </c>
      <c r="J7" s="121">
        <v>10.4</v>
      </c>
    </row>
    <row r="8" spans="1:10" x14ac:dyDescent="0.2">
      <c r="A8" s="122">
        <v>42458</v>
      </c>
      <c r="B8" s="121" t="s">
        <v>27</v>
      </c>
      <c r="C8" s="121" t="s">
        <v>26</v>
      </c>
      <c r="D8" s="130" t="s">
        <v>376</v>
      </c>
      <c r="E8" s="121">
        <v>436</v>
      </c>
      <c r="F8" s="121" t="s">
        <v>390</v>
      </c>
      <c r="G8" s="124" t="s">
        <v>384</v>
      </c>
      <c r="H8" s="128" t="s">
        <v>10</v>
      </c>
      <c r="J8" s="121">
        <v>11</v>
      </c>
    </row>
    <row r="9" spans="1:10" x14ac:dyDescent="0.2">
      <c r="A9" s="122">
        <v>42219</v>
      </c>
      <c r="B9" s="121" t="s">
        <v>25</v>
      </c>
      <c r="C9" s="121" t="s">
        <v>24</v>
      </c>
      <c r="D9" s="121" t="s">
        <v>24</v>
      </c>
      <c r="E9" s="123">
        <v>2100</v>
      </c>
      <c r="F9" s="121" t="s">
        <v>6</v>
      </c>
      <c r="G9" s="124" t="s">
        <v>384</v>
      </c>
    </row>
    <row r="10" spans="1:10" x14ac:dyDescent="0.2">
      <c r="A10" s="122">
        <v>41996</v>
      </c>
      <c r="B10" s="121" t="s">
        <v>23</v>
      </c>
      <c r="C10" s="121" t="s">
        <v>22</v>
      </c>
      <c r="D10" s="121" t="s">
        <v>377</v>
      </c>
      <c r="E10" s="123">
        <v>1000</v>
      </c>
      <c r="F10" s="121" t="s">
        <v>391</v>
      </c>
      <c r="G10" s="124" t="s">
        <v>384</v>
      </c>
      <c r="H10" s="128" t="s">
        <v>10</v>
      </c>
      <c r="J10" s="121">
        <v>10.7</v>
      </c>
    </row>
    <row r="11" spans="1:10" x14ac:dyDescent="0.2">
      <c r="A11" s="122">
        <v>41949</v>
      </c>
      <c r="B11" s="121" t="s">
        <v>21</v>
      </c>
      <c r="C11" s="121" t="s">
        <v>20</v>
      </c>
      <c r="D11" s="131" t="s">
        <v>378</v>
      </c>
      <c r="E11" s="123">
        <v>1075</v>
      </c>
      <c r="F11" s="121" t="s">
        <v>392</v>
      </c>
      <c r="G11" s="124" t="s">
        <v>384</v>
      </c>
      <c r="H11" s="128" t="s">
        <v>10</v>
      </c>
      <c r="J11" s="121">
        <v>10.5</v>
      </c>
    </row>
    <row r="12" spans="1:10" x14ac:dyDescent="0.2">
      <c r="A12" s="122">
        <v>41939</v>
      </c>
      <c r="B12" s="121" t="s">
        <v>19</v>
      </c>
      <c r="C12" s="121" t="s">
        <v>18</v>
      </c>
      <c r="D12" s="121" t="s">
        <v>379</v>
      </c>
      <c r="E12" s="123">
        <v>800</v>
      </c>
      <c r="F12" s="121" t="s">
        <v>6</v>
      </c>
      <c r="G12" s="124" t="s">
        <v>384</v>
      </c>
    </row>
    <row r="13" spans="1:10" x14ac:dyDescent="0.2">
      <c r="A13" s="122">
        <v>41911</v>
      </c>
      <c r="B13" s="121" t="s">
        <v>17</v>
      </c>
      <c r="C13" s="121" t="s">
        <v>16</v>
      </c>
      <c r="D13" s="121" t="s">
        <v>380</v>
      </c>
      <c r="E13" s="123">
        <v>235</v>
      </c>
      <c r="F13" s="121" t="s">
        <v>6</v>
      </c>
      <c r="G13" s="124" t="s">
        <v>384</v>
      </c>
    </row>
    <row r="14" spans="1:10" x14ac:dyDescent="0.2">
      <c r="A14" s="122">
        <v>41254</v>
      </c>
      <c r="B14" s="121" t="s">
        <v>15</v>
      </c>
      <c r="C14" s="121" t="s">
        <v>371</v>
      </c>
      <c r="D14" s="121" t="s">
        <v>381</v>
      </c>
      <c r="E14" s="123">
        <v>1490</v>
      </c>
      <c r="F14" s="121" t="s">
        <v>393</v>
      </c>
      <c r="G14" s="124" t="s">
        <v>384</v>
      </c>
      <c r="H14" s="128" t="s">
        <v>10</v>
      </c>
      <c r="J14" s="121">
        <v>11.5</v>
      </c>
    </row>
    <row r="15" spans="1:10" x14ac:dyDescent="0.2">
      <c r="A15" s="122">
        <v>41141</v>
      </c>
      <c r="B15" s="121" t="s">
        <v>14</v>
      </c>
      <c r="C15" s="121" t="s">
        <v>13</v>
      </c>
      <c r="D15" s="121" t="s">
        <v>382</v>
      </c>
      <c r="E15" s="123">
        <v>1800</v>
      </c>
      <c r="F15" s="121" t="s">
        <v>394</v>
      </c>
      <c r="G15" s="124" t="s">
        <v>384</v>
      </c>
      <c r="H15" s="128" t="s">
        <v>10</v>
      </c>
      <c r="J15" s="121">
        <v>8.3000000000000007</v>
      </c>
    </row>
    <row r="16" spans="1:10" x14ac:dyDescent="0.2">
      <c r="A16" s="122">
        <v>40743</v>
      </c>
      <c r="B16" s="121" t="s">
        <v>12</v>
      </c>
      <c r="C16" s="121" t="s">
        <v>11</v>
      </c>
      <c r="D16" s="121" t="s">
        <v>11</v>
      </c>
      <c r="E16" s="123">
        <v>9400</v>
      </c>
      <c r="F16" s="121" t="s">
        <v>393</v>
      </c>
      <c r="G16" s="124" t="s">
        <v>384</v>
      </c>
      <c r="H16" s="128" t="s">
        <v>10</v>
      </c>
      <c r="J16" s="121">
        <v>11.5</v>
      </c>
    </row>
    <row r="17" spans="1:10" x14ac:dyDescent="0.2">
      <c r="B17" s="121" t="s">
        <v>8</v>
      </c>
      <c r="C17" s="121" t="s">
        <v>9</v>
      </c>
      <c r="D17" s="121" t="s">
        <v>6</v>
      </c>
      <c r="E17" s="121" t="s">
        <v>6</v>
      </c>
      <c r="F17" s="121" t="s">
        <v>6</v>
      </c>
      <c r="H17" s="125"/>
      <c r="I17" s="125"/>
    </row>
    <row r="18" spans="1:10" x14ac:dyDescent="0.2">
      <c r="B18" s="121" t="s">
        <v>8</v>
      </c>
      <c r="C18" s="121" t="s">
        <v>7</v>
      </c>
      <c r="D18" s="121" t="s">
        <v>6</v>
      </c>
      <c r="E18" s="121" t="s">
        <v>6</v>
      </c>
      <c r="F18" s="121" t="s">
        <v>6</v>
      </c>
      <c r="G18" s="127"/>
    </row>
    <row r="19" spans="1:10" ht="15.75" customHeight="1" x14ac:dyDescent="0.25">
      <c r="D19" s="120" t="s">
        <v>324</v>
      </c>
      <c r="E19" s="123">
        <f>AVERAGE(E3:E16)</f>
        <v>2338.2142857142858</v>
      </c>
      <c r="F19" s="121" t="s">
        <v>5</v>
      </c>
      <c r="J19" s="121">
        <f>AVERAGE(J3:J16)</f>
        <v>11.32</v>
      </c>
    </row>
    <row r="21" spans="1:10" ht="15" x14ac:dyDescent="0.25">
      <c r="A21" s="132" t="s">
        <v>395</v>
      </c>
    </row>
    <row r="50" spans="6:9" x14ac:dyDescent="0.2">
      <c r="F50" s="129"/>
      <c r="I50" s="121"/>
    </row>
    <row r="51" spans="6:9" x14ac:dyDescent="0.2">
      <c r="F51" s="129"/>
      <c r="I51" s="121"/>
    </row>
  </sheetData>
  <mergeCells count="1">
    <mergeCell ref="B2:C2"/>
  </mergeCells>
  <hyperlinks>
    <hyperlink ref="G3" r:id="rId1" xr:uid="{A06F0246-5A61-4243-8680-B27BDFE7083B}"/>
    <hyperlink ref="G4" r:id="rId2" xr:uid="{195154B3-FA9A-476C-9870-BE13D6663FE4}"/>
    <hyperlink ref="G5" r:id="rId3" xr:uid="{84A5A174-06F6-4AE4-B57C-3356FD782D91}"/>
    <hyperlink ref="G7" r:id="rId4" xr:uid="{43871594-7FFC-4C20-905B-5EAD6E96C816}"/>
    <hyperlink ref="H7" r:id="rId5" xr:uid="{3FEC022C-CC08-422E-BECF-F92509EDE45A}"/>
    <hyperlink ref="G8" r:id="rId6" xr:uid="{71A76CCC-64E9-4C08-81FB-DF23D55DB709}"/>
    <hyperlink ref="H8" r:id="rId7" xr:uid="{B5A7BBCC-D96A-44CD-93E8-463F5FA4D80E}"/>
    <hyperlink ref="H11" r:id="rId8" xr:uid="{7917FEB6-3C08-4890-A52C-113643304914}"/>
    <hyperlink ref="G11" r:id="rId9" xr:uid="{F2BA6C97-7B21-412D-A5C9-FA0346B79589}"/>
    <hyperlink ref="H14" r:id="rId10" xr:uid="{6781C823-644A-42A4-A80B-18A1777103FB}"/>
    <hyperlink ref="G14" r:id="rId11" xr:uid="{0C766475-EE47-4F79-A891-43AC94B721A5}"/>
    <hyperlink ref="G15" r:id="rId12" xr:uid="{AC6FD451-6E53-46C0-AF55-64FAECF8A7A3}"/>
    <hyperlink ref="H15" r:id="rId13" xr:uid="{D60B4E48-2FA9-45BF-8F70-0BF7F3DCB31B}"/>
    <hyperlink ref="G6" r:id="rId14" xr:uid="{C3F6C01B-6505-4138-9687-34CBE5AE1BF2}"/>
    <hyperlink ref="G9" r:id="rId15" xr:uid="{6056C50C-E51D-4C2A-BE7D-E3205C6DE027}"/>
    <hyperlink ref="H10" r:id="rId16" xr:uid="{287740C6-24A6-4C52-AF2B-5E790E32F58A}"/>
    <hyperlink ref="G10" r:id="rId17" xr:uid="{3BCCC6F5-1847-4AAF-96BE-0164C019998F}"/>
    <hyperlink ref="G12" r:id="rId18" xr:uid="{2C3B26EE-63E7-4969-83DC-BB9AA26130AB}"/>
    <hyperlink ref="G13" r:id="rId19" xr:uid="{00980EC6-4356-464F-B6EE-1E456356ECA7}"/>
    <hyperlink ref="G16" r:id="rId20" xr:uid="{497A778A-D607-4B49-9BF5-818C02651FF7}"/>
    <hyperlink ref="H16" r:id="rId21" xr:uid="{D454B153-5E21-477E-A6CC-D0E683AADD2B}"/>
    <hyperlink ref="I4" r:id="rId22" xr:uid="{5500EB3C-A77F-4D8A-8511-A080947BF4B3}"/>
  </hyperlinks>
  <pageMargins left="0.7" right="0.7" top="0.75" bottom="0.75" header="0.3" footer="0.3"/>
  <pageSetup orientation="portrait" r:id="rId23"/>
  <drawing r:id="rId2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A0E8-2FB8-48C9-8F1F-9A8B26EAB420}">
  <sheetPr codeName="Sheet25"/>
  <dimension ref="A2"/>
  <sheetViews>
    <sheetView showGridLines="0" workbookViewId="0">
      <selection activeCell="O2" sqref="O2"/>
    </sheetView>
  </sheetViews>
  <sheetFormatPr defaultColWidth="9.140625" defaultRowHeight="12.75" x14ac:dyDescent="0.2"/>
  <sheetData>
    <row r="2" spans="1:1" ht="26.25" x14ac:dyDescent="0.4">
      <c r="A2" s="86" t="s">
        <v>396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C1BB0-AB1C-4BEB-8754-B345394DA559}">
  <sheetPr codeName="Sheet8"/>
  <dimension ref="A1:J211"/>
  <sheetViews>
    <sheetView topLeftCell="A19" workbookViewId="0">
      <selection activeCell="K43" sqref="K43"/>
    </sheetView>
  </sheetViews>
  <sheetFormatPr defaultColWidth="9" defaultRowHeight="14.25" x14ac:dyDescent="0.2"/>
  <cols>
    <col min="1" max="16384" width="9" style="121"/>
  </cols>
  <sheetData>
    <row r="1" spans="1:10" x14ac:dyDescent="0.2">
      <c r="A1" s="121" t="s">
        <v>397</v>
      </c>
      <c r="B1" s="121" t="s">
        <v>341</v>
      </c>
      <c r="C1" s="121" t="s">
        <v>398</v>
      </c>
      <c r="D1" s="121" t="s">
        <v>411</v>
      </c>
      <c r="E1" s="121" t="s">
        <v>48</v>
      </c>
      <c r="F1" s="121" t="s">
        <v>49</v>
      </c>
      <c r="G1" s="121" t="s">
        <v>417</v>
      </c>
      <c r="H1" s="121" t="s">
        <v>399</v>
      </c>
      <c r="I1" s="121" t="s">
        <v>405</v>
      </c>
      <c r="J1" s="121" t="s">
        <v>410</v>
      </c>
    </row>
    <row r="2" spans="1:10" x14ac:dyDescent="0.2">
      <c r="A2" s="121">
        <v>1</v>
      </c>
      <c r="B2" s="121">
        <v>2016</v>
      </c>
      <c r="C2" s="121" t="s">
        <v>50</v>
      </c>
      <c r="D2" s="121" t="s">
        <v>51</v>
      </c>
      <c r="E2" s="121">
        <v>49.076599999999999</v>
      </c>
      <c r="F2" s="121">
        <v>-122.20269999999999</v>
      </c>
      <c r="G2" s="121" t="s">
        <v>402</v>
      </c>
      <c r="H2" s="121" t="s">
        <v>401</v>
      </c>
      <c r="I2" s="121" t="s">
        <v>406</v>
      </c>
      <c r="J2" s="121">
        <v>25</v>
      </c>
    </row>
    <row r="3" spans="1:10" x14ac:dyDescent="0.2">
      <c r="A3" s="121">
        <v>1</v>
      </c>
      <c r="B3" s="121">
        <v>2016</v>
      </c>
      <c r="C3" s="121" t="s">
        <v>50</v>
      </c>
      <c r="D3" s="121" t="s">
        <v>51</v>
      </c>
      <c r="E3" s="121">
        <v>49.076599999999999</v>
      </c>
      <c r="F3" s="121">
        <v>-122.20269999999999</v>
      </c>
      <c r="G3" s="121" t="s">
        <v>402</v>
      </c>
      <c r="H3" s="121" t="s">
        <v>401</v>
      </c>
      <c r="I3" s="121" t="s">
        <v>407</v>
      </c>
      <c r="J3" s="121">
        <v>5</v>
      </c>
    </row>
    <row r="4" spans="1:10" x14ac:dyDescent="0.2">
      <c r="A4" s="121">
        <v>1</v>
      </c>
      <c r="B4" s="121">
        <v>2016</v>
      </c>
      <c r="C4" s="121" t="s">
        <v>50</v>
      </c>
      <c r="D4" s="121" t="s">
        <v>46</v>
      </c>
      <c r="E4" s="121">
        <v>49.268500000000003</v>
      </c>
      <c r="F4" s="121">
        <v>-122.93129999999999</v>
      </c>
      <c r="G4" s="121" t="s">
        <v>403</v>
      </c>
      <c r="H4" s="121" t="s">
        <v>416</v>
      </c>
      <c r="I4" s="121" t="s">
        <v>406</v>
      </c>
      <c r="J4" s="121">
        <v>8</v>
      </c>
    </row>
    <row r="5" spans="1:10" x14ac:dyDescent="0.2">
      <c r="A5" s="121">
        <v>1</v>
      </c>
      <c r="B5" s="121">
        <v>2016</v>
      </c>
      <c r="C5" s="121" t="s">
        <v>50</v>
      </c>
      <c r="D5" s="121" t="s">
        <v>46</v>
      </c>
      <c r="E5" s="121">
        <v>49.268500000000003</v>
      </c>
      <c r="F5" s="121">
        <v>-122.93129999999999</v>
      </c>
      <c r="G5" s="121" t="s">
        <v>403</v>
      </c>
      <c r="H5" s="121" t="s">
        <v>416</v>
      </c>
      <c r="I5" s="121" t="s">
        <v>407</v>
      </c>
      <c r="J5" s="121">
        <v>0</v>
      </c>
    </row>
    <row r="6" spans="1:10" x14ac:dyDescent="0.2">
      <c r="A6" s="121">
        <v>1</v>
      </c>
      <c r="B6" s="121">
        <v>2016</v>
      </c>
      <c r="C6" s="121" t="s">
        <v>50</v>
      </c>
      <c r="D6" s="121" t="s">
        <v>46</v>
      </c>
      <c r="E6" s="121">
        <v>49.268500000000003</v>
      </c>
      <c r="F6" s="121">
        <v>-122.93129999999999</v>
      </c>
      <c r="G6" s="121" t="s">
        <v>403</v>
      </c>
      <c r="H6" s="121" t="s">
        <v>416</v>
      </c>
      <c r="I6" s="121" t="s">
        <v>408</v>
      </c>
      <c r="J6" s="121">
        <v>9</v>
      </c>
    </row>
    <row r="7" spans="1:10" x14ac:dyDescent="0.2">
      <c r="A7" s="121">
        <v>1</v>
      </c>
      <c r="B7" s="121">
        <v>2016</v>
      </c>
      <c r="C7" s="121" t="s">
        <v>50</v>
      </c>
      <c r="D7" s="121" t="s">
        <v>404</v>
      </c>
      <c r="E7" s="121">
        <v>49.290799999999997</v>
      </c>
      <c r="F7" s="121">
        <v>-122.9503</v>
      </c>
      <c r="G7" s="121" t="s">
        <v>403</v>
      </c>
      <c r="H7" s="121" t="s">
        <v>401</v>
      </c>
      <c r="I7" s="121" t="s">
        <v>406</v>
      </c>
      <c r="J7" s="121">
        <v>0</v>
      </c>
    </row>
    <row r="8" spans="1:10" x14ac:dyDescent="0.2">
      <c r="A8" s="121">
        <v>1</v>
      </c>
      <c r="B8" s="121">
        <v>2016</v>
      </c>
      <c r="C8" s="121" t="s">
        <v>50</v>
      </c>
      <c r="D8" s="121" t="s">
        <v>404</v>
      </c>
      <c r="E8" s="121">
        <v>49.290799999999997</v>
      </c>
      <c r="F8" s="121">
        <v>-122.9503</v>
      </c>
      <c r="G8" s="121" t="s">
        <v>403</v>
      </c>
      <c r="H8" s="121" t="s">
        <v>401</v>
      </c>
      <c r="I8" s="121" t="s">
        <v>407</v>
      </c>
      <c r="J8" s="121">
        <v>4</v>
      </c>
    </row>
    <row r="9" spans="1:10" x14ac:dyDescent="0.2">
      <c r="A9" s="121">
        <v>2</v>
      </c>
      <c r="B9" s="121">
        <v>2016</v>
      </c>
      <c r="C9" s="121" t="s">
        <v>50</v>
      </c>
      <c r="D9" s="121" t="s">
        <v>51</v>
      </c>
      <c r="E9" s="121">
        <v>49.076599999999999</v>
      </c>
      <c r="F9" s="121">
        <v>-122.20269999999999</v>
      </c>
      <c r="G9" s="121" t="s">
        <v>402</v>
      </c>
      <c r="H9" s="121" t="s">
        <v>401</v>
      </c>
      <c r="I9" s="121" t="s">
        <v>406</v>
      </c>
      <c r="J9" s="121">
        <v>31</v>
      </c>
    </row>
    <row r="10" spans="1:10" x14ac:dyDescent="0.2">
      <c r="A10" s="121">
        <v>2</v>
      </c>
      <c r="B10" s="121">
        <v>2016</v>
      </c>
      <c r="C10" s="121" t="s">
        <v>50</v>
      </c>
      <c r="D10" s="121" t="s">
        <v>51</v>
      </c>
      <c r="E10" s="121">
        <v>49.076599999999999</v>
      </c>
      <c r="F10" s="121">
        <v>-122.20269999999999</v>
      </c>
      <c r="G10" s="121" t="s">
        <v>402</v>
      </c>
      <c r="H10" s="121" t="s">
        <v>401</v>
      </c>
      <c r="I10" s="121" t="s">
        <v>407</v>
      </c>
      <c r="J10" s="121">
        <v>0</v>
      </c>
    </row>
    <row r="11" spans="1:10" x14ac:dyDescent="0.2">
      <c r="A11" s="121">
        <v>2</v>
      </c>
      <c r="B11" s="121">
        <v>2016</v>
      </c>
      <c r="C11" s="121" t="s">
        <v>50</v>
      </c>
      <c r="D11" s="121" t="s">
        <v>46</v>
      </c>
      <c r="E11" s="121">
        <v>49.268500000000003</v>
      </c>
      <c r="F11" s="121">
        <v>-122.93129999999999</v>
      </c>
      <c r="G11" s="121" t="s">
        <v>403</v>
      </c>
      <c r="H11" s="121" t="s">
        <v>416</v>
      </c>
      <c r="I11" s="121" t="s">
        <v>406</v>
      </c>
      <c r="J11" s="121">
        <v>6</v>
      </c>
    </row>
    <row r="12" spans="1:10" x14ac:dyDescent="0.2">
      <c r="A12" s="121">
        <v>2</v>
      </c>
      <c r="B12" s="121">
        <v>2016</v>
      </c>
      <c r="C12" s="121" t="s">
        <v>50</v>
      </c>
      <c r="D12" s="121" t="s">
        <v>46</v>
      </c>
      <c r="E12" s="121">
        <v>49.268500000000003</v>
      </c>
      <c r="F12" s="121">
        <v>-122.93129999999999</v>
      </c>
      <c r="G12" s="121" t="s">
        <v>403</v>
      </c>
      <c r="H12" s="121" t="s">
        <v>416</v>
      </c>
      <c r="I12" s="121" t="s">
        <v>407</v>
      </c>
      <c r="J12" s="121">
        <v>0</v>
      </c>
    </row>
    <row r="13" spans="1:10" x14ac:dyDescent="0.2">
      <c r="A13" s="121">
        <v>2</v>
      </c>
      <c r="B13" s="121">
        <v>2016</v>
      </c>
      <c r="C13" s="121" t="s">
        <v>50</v>
      </c>
      <c r="D13" s="121" t="s">
        <v>46</v>
      </c>
      <c r="E13" s="121">
        <v>49.268500000000003</v>
      </c>
      <c r="F13" s="121">
        <v>-122.93129999999999</v>
      </c>
      <c r="G13" s="121" t="s">
        <v>403</v>
      </c>
      <c r="H13" s="121" t="s">
        <v>416</v>
      </c>
      <c r="I13" s="121" t="s">
        <v>408</v>
      </c>
      <c r="J13" s="121">
        <v>11</v>
      </c>
    </row>
    <row r="14" spans="1:10" x14ac:dyDescent="0.2">
      <c r="A14" s="121">
        <v>2</v>
      </c>
      <c r="B14" s="121">
        <v>2016</v>
      </c>
      <c r="C14" s="121" t="s">
        <v>50</v>
      </c>
      <c r="D14" s="121" t="s">
        <v>404</v>
      </c>
      <c r="E14" s="121">
        <v>49.290799999999997</v>
      </c>
      <c r="F14" s="121">
        <v>-122.9503</v>
      </c>
      <c r="G14" s="121" t="s">
        <v>403</v>
      </c>
      <c r="H14" s="121" t="s">
        <v>401</v>
      </c>
      <c r="I14" s="121" t="s">
        <v>406</v>
      </c>
      <c r="J14" s="121">
        <v>0</v>
      </c>
    </row>
    <row r="15" spans="1:10" x14ac:dyDescent="0.2">
      <c r="A15" s="121">
        <v>2</v>
      </c>
      <c r="B15" s="121">
        <v>2016</v>
      </c>
      <c r="C15" s="121" t="s">
        <v>50</v>
      </c>
      <c r="D15" s="121" t="s">
        <v>404</v>
      </c>
      <c r="E15" s="121">
        <v>49.290799999999997</v>
      </c>
      <c r="F15" s="121">
        <v>-122.9503</v>
      </c>
      <c r="G15" s="121" t="s">
        <v>403</v>
      </c>
      <c r="H15" s="121" t="s">
        <v>401</v>
      </c>
      <c r="I15" s="121" t="s">
        <v>407</v>
      </c>
      <c r="J15" s="121">
        <v>1</v>
      </c>
    </row>
    <row r="16" spans="1:10" x14ac:dyDescent="0.2">
      <c r="A16" s="121">
        <v>3</v>
      </c>
      <c r="B16" s="121">
        <v>2016</v>
      </c>
      <c r="C16" s="121" t="s">
        <v>50</v>
      </c>
      <c r="D16" s="121" t="s">
        <v>51</v>
      </c>
      <c r="E16" s="121">
        <v>49.076599999999999</v>
      </c>
      <c r="F16" s="121">
        <v>-122.20269999999999</v>
      </c>
      <c r="G16" s="121" t="s">
        <v>402</v>
      </c>
      <c r="H16" s="121" t="s">
        <v>401</v>
      </c>
      <c r="I16" s="121" t="s">
        <v>406</v>
      </c>
      <c r="J16" s="121">
        <v>29</v>
      </c>
    </row>
    <row r="17" spans="1:10" x14ac:dyDescent="0.2">
      <c r="A17" s="121">
        <v>3</v>
      </c>
      <c r="B17" s="121">
        <v>2016</v>
      </c>
      <c r="C17" s="121" t="s">
        <v>50</v>
      </c>
      <c r="D17" s="121" t="s">
        <v>51</v>
      </c>
      <c r="E17" s="121">
        <v>49.076599999999999</v>
      </c>
      <c r="F17" s="121">
        <v>-122.20269999999999</v>
      </c>
      <c r="G17" s="121" t="s">
        <v>402</v>
      </c>
      <c r="H17" s="121" t="s">
        <v>401</v>
      </c>
      <c r="I17" s="121" t="s">
        <v>407</v>
      </c>
      <c r="J17" s="121">
        <v>0</v>
      </c>
    </row>
    <row r="18" spans="1:10" x14ac:dyDescent="0.2">
      <c r="A18" s="121">
        <v>3</v>
      </c>
      <c r="B18" s="121">
        <v>2016</v>
      </c>
      <c r="C18" s="121" t="s">
        <v>50</v>
      </c>
      <c r="D18" s="121" t="s">
        <v>46</v>
      </c>
      <c r="E18" s="121">
        <v>49.268500000000003</v>
      </c>
      <c r="F18" s="121">
        <v>-122.93129999999999</v>
      </c>
      <c r="G18" s="121" t="s">
        <v>403</v>
      </c>
      <c r="H18" s="121" t="s">
        <v>416</v>
      </c>
      <c r="I18" s="121" t="s">
        <v>406</v>
      </c>
      <c r="J18" s="121">
        <v>8</v>
      </c>
    </row>
    <row r="19" spans="1:10" x14ac:dyDescent="0.2">
      <c r="A19" s="121">
        <v>3</v>
      </c>
      <c r="B19" s="121">
        <v>2016</v>
      </c>
      <c r="C19" s="121" t="s">
        <v>50</v>
      </c>
      <c r="D19" s="121" t="s">
        <v>46</v>
      </c>
      <c r="E19" s="121">
        <v>49.268500000000003</v>
      </c>
      <c r="F19" s="121">
        <v>-122.93129999999999</v>
      </c>
      <c r="G19" s="121" t="s">
        <v>403</v>
      </c>
      <c r="H19" s="121" t="s">
        <v>416</v>
      </c>
      <c r="I19" s="121" t="s">
        <v>407</v>
      </c>
      <c r="J19" s="121">
        <v>0</v>
      </c>
    </row>
    <row r="20" spans="1:10" x14ac:dyDescent="0.2">
      <c r="A20" s="121">
        <v>3</v>
      </c>
      <c r="B20" s="121">
        <v>2016</v>
      </c>
      <c r="C20" s="121" t="s">
        <v>50</v>
      </c>
      <c r="D20" s="121" t="s">
        <v>46</v>
      </c>
      <c r="E20" s="121">
        <v>49.268500000000003</v>
      </c>
      <c r="F20" s="121">
        <v>-122.93129999999999</v>
      </c>
      <c r="G20" s="121" t="s">
        <v>403</v>
      </c>
      <c r="H20" s="121" t="s">
        <v>416</v>
      </c>
      <c r="I20" s="121" t="s">
        <v>408</v>
      </c>
      <c r="J20" s="121">
        <v>8</v>
      </c>
    </row>
    <row r="21" spans="1:10" x14ac:dyDescent="0.2">
      <c r="A21" s="121">
        <v>3</v>
      </c>
      <c r="B21" s="121">
        <v>2016</v>
      </c>
      <c r="C21" s="121" t="s">
        <v>50</v>
      </c>
      <c r="D21" s="121" t="s">
        <v>404</v>
      </c>
      <c r="E21" s="121">
        <v>49.290799999999997</v>
      </c>
      <c r="F21" s="121">
        <v>-122.9503</v>
      </c>
      <c r="G21" s="121" t="s">
        <v>403</v>
      </c>
      <c r="H21" s="121" t="s">
        <v>401</v>
      </c>
      <c r="I21" s="121" t="s">
        <v>406</v>
      </c>
      <c r="J21" s="121">
        <v>2</v>
      </c>
    </row>
    <row r="22" spans="1:10" x14ac:dyDescent="0.2">
      <c r="A22" s="121">
        <v>3</v>
      </c>
      <c r="B22" s="121">
        <v>2016</v>
      </c>
      <c r="C22" s="121" t="s">
        <v>50</v>
      </c>
      <c r="D22" s="121" t="s">
        <v>404</v>
      </c>
      <c r="E22" s="121">
        <v>49.290799999999997</v>
      </c>
      <c r="F22" s="121">
        <v>-122.9503</v>
      </c>
      <c r="G22" s="121" t="s">
        <v>403</v>
      </c>
      <c r="H22" s="121" t="s">
        <v>401</v>
      </c>
      <c r="I22" s="121" t="s">
        <v>407</v>
      </c>
      <c r="J22" s="121">
        <v>4</v>
      </c>
    </row>
    <row r="23" spans="1:10" x14ac:dyDescent="0.2">
      <c r="A23" s="121">
        <v>4</v>
      </c>
      <c r="B23" s="121">
        <v>2016</v>
      </c>
      <c r="C23" s="121" t="s">
        <v>50</v>
      </c>
      <c r="D23" s="121" t="s">
        <v>51</v>
      </c>
      <c r="E23" s="121">
        <v>49.076599999999999</v>
      </c>
      <c r="F23" s="121">
        <v>-122.20269999999999</v>
      </c>
      <c r="G23" s="121" t="s">
        <v>402</v>
      </c>
      <c r="H23" s="121" t="s">
        <v>401</v>
      </c>
      <c r="I23" s="121" t="s">
        <v>406</v>
      </c>
      <c r="J23" s="121">
        <v>31</v>
      </c>
    </row>
    <row r="24" spans="1:10" x14ac:dyDescent="0.2">
      <c r="A24" s="121">
        <v>4</v>
      </c>
      <c r="B24" s="121">
        <v>2016</v>
      </c>
      <c r="C24" s="121" t="s">
        <v>50</v>
      </c>
      <c r="D24" s="121" t="s">
        <v>51</v>
      </c>
      <c r="E24" s="121">
        <v>49.076599999999999</v>
      </c>
      <c r="F24" s="121">
        <v>-122.20269999999999</v>
      </c>
      <c r="G24" s="121" t="s">
        <v>402</v>
      </c>
      <c r="H24" s="121" t="s">
        <v>401</v>
      </c>
      <c r="I24" s="121" t="s">
        <v>407</v>
      </c>
      <c r="J24" s="121">
        <v>0</v>
      </c>
    </row>
    <row r="25" spans="1:10" x14ac:dyDescent="0.2">
      <c r="A25" s="121">
        <v>4</v>
      </c>
      <c r="B25" s="121">
        <v>2016</v>
      </c>
      <c r="C25" s="121" t="s">
        <v>50</v>
      </c>
      <c r="D25" s="121" t="s">
        <v>46</v>
      </c>
      <c r="E25" s="121">
        <v>49.268500000000003</v>
      </c>
      <c r="F25" s="121">
        <v>-122.93129999999999</v>
      </c>
      <c r="G25" s="121" t="s">
        <v>403</v>
      </c>
      <c r="H25" s="121" t="s">
        <v>416</v>
      </c>
      <c r="I25" s="121" t="s">
        <v>406</v>
      </c>
      <c r="J25" s="121">
        <v>9</v>
      </c>
    </row>
    <row r="26" spans="1:10" x14ac:dyDescent="0.2">
      <c r="A26" s="121">
        <v>4</v>
      </c>
      <c r="B26" s="121">
        <v>2016</v>
      </c>
      <c r="C26" s="121" t="s">
        <v>50</v>
      </c>
      <c r="D26" s="121" t="s">
        <v>46</v>
      </c>
      <c r="E26" s="121">
        <v>49.268500000000003</v>
      </c>
      <c r="F26" s="121">
        <v>-122.93129999999999</v>
      </c>
      <c r="G26" s="121" t="s">
        <v>403</v>
      </c>
      <c r="H26" s="121" t="s">
        <v>416</v>
      </c>
      <c r="I26" s="121" t="s">
        <v>407</v>
      </c>
      <c r="J26" s="121">
        <v>0</v>
      </c>
    </row>
    <row r="27" spans="1:10" x14ac:dyDescent="0.2">
      <c r="A27" s="121">
        <v>4</v>
      </c>
      <c r="B27" s="121">
        <v>2016</v>
      </c>
      <c r="C27" s="121" t="s">
        <v>50</v>
      </c>
      <c r="D27" s="121" t="s">
        <v>46</v>
      </c>
      <c r="E27" s="121">
        <v>49.268500000000003</v>
      </c>
      <c r="F27" s="121">
        <v>-122.93129999999999</v>
      </c>
      <c r="G27" s="121" t="s">
        <v>403</v>
      </c>
      <c r="H27" s="121" t="s">
        <v>416</v>
      </c>
      <c r="I27" s="121" t="s">
        <v>408</v>
      </c>
      <c r="J27" s="121">
        <v>8</v>
      </c>
    </row>
    <row r="28" spans="1:10" x14ac:dyDescent="0.2">
      <c r="A28" s="121">
        <v>4</v>
      </c>
      <c r="B28" s="121">
        <v>2016</v>
      </c>
      <c r="C28" s="121" t="s">
        <v>50</v>
      </c>
      <c r="D28" s="121" t="s">
        <v>404</v>
      </c>
      <c r="E28" s="121">
        <v>49.290799999999997</v>
      </c>
      <c r="F28" s="121">
        <v>-122.9503</v>
      </c>
      <c r="G28" s="121" t="s">
        <v>403</v>
      </c>
      <c r="H28" s="121" t="s">
        <v>400</v>
      </c>
      <c r="I28" s="121" t="s">
        <v>406</v>
      </c>
      <c r="J28" s="121">
        <v>1</v>
      </c>
    </row>
    <row r="29" spans="1:10" x14ac:dyDescent="0.2">
      <c r="A29" s="121">
        <v>4</v>
      </c>
      <c r="B29" s="121">
        <v>2016</v>
      </c>
      <c r="C29" s="121" t="s">
        <v>50</v>
      </c>
      <c r="D29" s="121" t="s">
        <v>404</v>
      </c>
      <c r="E29" s="121">
        <v>49.290799999999997</v>
      </c>
      <c r="F29" s="121">
        <v>-122.9503</v>
      </c>
      <c r="G29" s="121" t="s">
        <v>403</v>
      </c>
      <c r="H29" s="121" t="s">
        <v>400</v>
      </c>
      <c r="I29" s="121" t="s">
        <v>407</v>
      </c>
      <c r="J29" s="121">
        <v>5</v>
      </c>
    </row>
    <row r="30" spans="1:10" x14ac:dyDescent="0.2">
      <c r="A30" s="121">
        <v>5</v>
      </c>
      <c r="B30" s="121">
        <v>2016</v>
      </c>
      <c r="C30" s="121" t="s">
        <v>50</v>
      </c>
      <c r="D30" s="121" t="s">
        <v>51</v>
      </c>
      <c r="E30" s="121">
        <v>49.076599999999999</v>
      </c>
      <c r="F30" s="121">
        <v>-122.20269999999999</v>
      </c>
      <c r="G30" s="121" t="s">
        <v>402</v>
      </c>
      <c r="H30" s="121" t="s">
        <v>400</v>
      </c>
      <c r="I30" s="121" t="s">
        <v>406</v>
      </c>
      <c r="J30" s="121">
        <v>34</v>
      </c>
    </row>
    <row r="31" spans="1:10" x14ac:dyDescent="0.2">
      <c r="A31" s="121">
        <v>5</v>
      </c>
      <c r="B31" s="121">
        <v>2016</v>
      </c>
      <c r="C31" s="121" t="s">
        <v>50</v>
      </c>
      <c r="D31" s="121" t="s">
        <v>51</v>
      </c>
      <c r="E31" s="121">
        <v>49.076599999999999</v>
      </c>
      <c r="F31" s="121">
        <v>-122.20269999999999</v>
      </c>
      <c r="G31" s="121" t="s">
        <v>402</v>
      </c>
      <c r="H31" s="121" t="s">
        <v>400</v>
      </c>
      <c r="I31" s="121" t="s">
        <v>407</v>
      </c>
      <c r="J31" s="121">
        <v>1</v>
      </c>
    </row>
    <row r="32" spans="1:10" x14ac:dyDescent="0.2">
      <c r="A32" s="121">
        <v>5</v>
      </c>
      <c r="B32" s="121">
        <v>2016</v>
      </c>
      <c r="C32" s="121" t="s">
        <v>50</v>
      </c>
      <c r="D32" s="121" t="s">
        <v>46</v>
      </c>
      <c r="E32" s="121">
        <v>49.268500000000003</v>
      </c>
      <c r="F32" s="121">
        <v>-122.93129999999999</v>
      </c>
      <c r="G32" s="121" t="s">
        <v>403</v>
      </c>
      <c r="H32" s="121" t="s">
        <v>416</v>
      </c>
      <c r="I32" s="121" t="s">
        <v>406</v>
      </c>
      <c r="J32" s="121">
        <v>8</v>
      </c>
    </row>
    <row r="33" spans="1:10" x14ac:dyDescent="0.2">
      <c r="A33" s="121">
        <v>5</v>
      </c>
      <c r="B33" s="121">
        <v>2016</v>
      </c>
      <c r="C33" s="121" t="s">
        <v>50</v>
      </c>
      <c r="D33" s="121" t="s">
        <v>46</v>
      </c>
      <c r="E33" s="121">
        <v>49.268500000000003</v>
      </c>
      <c r="F33" s="121">
        <v>-122.93129999999999</v>
      </c>
      <c r="G33" s="121" t="s">
        <v>403</v>
      </c>
      <c r="H33" s="121" t="s">
        <v>416</v>
      </c>
      <c r="I33" s="121" t="s">
        <v>407</v>
      </c>
      <c r="J33" s="121">
        <v>0</v>
      </c>
    </row>
    <row r="34" spans="1:10" x14ac:dyDescent="0.2">
      <c r="A34" s="121">
        <v>5</v>
      </c>
      <c r="B34" s="121">
        <v>2016</v>
      </c>
      <c r="C34" s="121" t="s">
        <v>50</v>
      </c>
      <c r="D34" s="121" t="s">
        <v>46</v>
      </c>
      <c r="E34" s="121">
        <v>49.268500000000003</v>
      </c>
      <c r="F34" s="121">
        <v>-122.93129999999999</v>
      </c>
      <c r="G34" s="121" t="s">
        <v>403</v>
      </c>
      <c r="H34" s="121" t="s">
        <v>416</v>
      </c>
      <c r="I34" s="121" t="s">
        <v>408</v>
      </c>
      <c r="J34" s="121">
        <v>5</v>
      </c>
    </row>
    <row r="35" spans="1:10" x14ac:dyDescent="0.2">
      <c r="A35" s="121">
        <v>5</v>
      </c>
      <c r="B35" s="121">
        <v>2016</v>
      </c>
      <c r="C35" s="121" t="s">
        <v>50</v>
      </c>
      <c r="D35" s="121" t="s">
        <v>404</v>
      </c>
      <c r="E35" s="121">
        <v>49.290799999999997</v>
      </c>
      <c r="F35" s="121">
        <v>-122.9503</v>
      </c>
      <c r="G35" s="121" t="s">
        <v>403</v>
      </c>
      <c r="H35" s="121" t="s">
        <v>400</v>
      </c>
      <c r="I35" s="121" t="s">
        <v>406</v>
      </c>
      <c r="J35" s="121">
        <v>0</v>
      </c>
    </row>
    <row r="36" spans="1:10" x14ac:dyDescent="0.2">
      <c r="A36" s="121">
        <v>5</v>
      </c>
      <c r="B36" s="121">
        <v>2016</v>
      </c>
      <c r="C36" s="121" t="s">
        <v>50</v>
      </c>
      <c r="D36" s="121" t="s">
        <v>404</v>
      </c>
      <c r="E36" s="121">
        <v>49.290799999999997</v>
      </c>
      <c r="F36" s="121">
        <v>-122.9503</v>
      </c>
      <c r="G36" s="121" t="s">
        <v>403</v>
      </c>
      <c r="H36" s="121" t="s">
        <v>400</v>
      </c>
      <c r="I36" s="121" t="s">
        <v>407</v>
      </c>
      <c r="J36" s="121">
        <v>4</v>
      </c>
    </row>
    <row r="37" spans="1:10" x14ac:dyDescent="0.2">
      <c r="A37" s="121">
        <v>6</v>
      </c>
      <c r="B37" s="121">
        <v>2016</v>
      </c>
      <c r="C37" s="121" t="s">
        <v>50</v>
      </c>
      <c r="D37" s="121" t="s">
        <v>51</v>
      </c>
      <c r="E37" s="121">
        <v>49.076599999999999</v>
      </c>
      <c r="F37" s="121">
        <v>-122.20269999999999</v>
      </c>
      <c r="G37" s="121" t="s">
        <v>402</v>
      </c>
      <c r="H37" s="121" t="s">
        <v>400</v>
      </c>
      <c r="I37" s="121" t="s">
        <v>406</v>
      </c>
      <c r="J37" s="121">
        <v>35</v>
      </c>
    </row>
    <row r="38" spans="1:10" x14ac:dyDescent="0.2">
      <c r="A38" s="121">
        <v>6</v>
      </c>
      <c r="B38" s="121">
        <v>2016</v>
      </c>
      <c r="C38" s="121" t="s">
        <v>50</v>
      </c>
      <c r="D38" s="121" t="s">
        <v>51</v>
      </c>
      <c r="E38" s="121">
        <v>49.076599999999999</v>
      </c>
      <c r="F38" s="121">
        <v>-122.20269999999999</v>
      </c>
      <c r="G38" s="121" t="s">
        <v>402</v>
      </c>
      <c r="H38" s="121" t="s">
        <v>400</v>
      </c>
      <c r="I38" s="121" t="s">
        <v>407</v>
      </c>
      <c r="J38" s="121">
        <v>1</v>
      </c>
    </row>
    <row r="39" spans="1:10" x14ac:dyDescent="0.2">
      <c r="A39" s="121">
        <v>6</v>
      </c>
      <c r="B39" s="121">
        <v>2016</v>
      </c>
      <c r="C39" s="121" t="s">
        <v>50</v>
      </c>
      <c r="D39" s="121" t="s">
        <v>46</v>
      </c>
      <c r="E39" s="121">
        <v>49.268500000000003</v>
      </c>
      <c r="F39" s="121">
        <v>-122.93129999999999</v>
      </c>
      <c r="G39" s="121" t="s">
        <v>403</v>
      </c>
      <c r="H39" s="121" t="s">
        <v>416</v>
      </c>
      <c r="I39" s="121" t="s">
        <v>406</v>
      </c>
      <c r="J39" s="121">
        <v>6</v>
      </c>
    </row>
    <row r="40" spans="1:10" x14ac:dyDescent="0.2">
      <c r="A40" s="121">
        <v>6</v>
      </c>
      <c r="B40" s="121">
        <v>2016</v>
      </c>
      <c r="C40" s="121" t="s">
        <v>50</v>
      </c>
      <c r="D40" s="121" t="s">
        <v>46</v>
      </c>
      <c r="E40" s="121">
        <v>49.268500000000003</v>
      </c>
      <c r="F40" s="121">
        <v>-122.93129999999999</v>
      </c>
      <c r="G40" s="121" t="s">
        <v>403</v>
      </c>
      <c r="H40" s="121" t="s">
        <v>416</v>
      </c>
      <c r="I40" s="121" t="s">
        <v>407</v>
      </c>
      <c r="J40" s="121">
        <v>0</v>
      </c>
    </row>
    <row r="41" spans="1:10" x14ac:dyDescent="0.2">
      <c r="A41" s="121">
        <v>6</v>
      </c>
      <c r="B41" s="121">
        <v>2016</v>
      </c>
      <c r="C41" s="121" t="s">
        <v>50</v>
      </c>
      <c r="D41" s="121" t="s">
        <v>46</v>
      </c>
      <c r="E41" s="121">
        <v>49.268500000000003</v>
      </c>
      <c r="F41" s="121">
        <v>-122.93129999999999</v>
      </c>
      <c r="G41" s="121" t="s">
        <v>403</v>
      </c>
      <c r="H41" s="121" t="s">
        <v>416</v>
      </c>
      <c r="I41" s="121" t="s">
        <v>408</v>
      </c>
      <c r="J41" s="121">
        <v>3</v>
      </c>
    </row>
    <row r="42" spans="1:10" x14ac:dyDescent="0.2">
      <c r="A42" s="121">
        <v>6</v>
      </c>
      <c r="B42" s="121">
        <v>2016</v>
      </c>
      <c r="C42" s="121" t="s">
        <v>50</v>
      </c>
      <c r="D42" s="121" t="s">
        <v>404</v>
      </c>
      <c r="E42" s="121">
        <v>49.290799999999997</v>
      </c>
      <c r="F42" s="121">
        <v>-122.9503</v>
      </c>
      <c r="G42" s="121" t="s">
        <v>403</v>
      </c>
      <c r="H42" s="121" t="s">
        <v>400</v>
      </c>
      <c r="I42" s="121" t="s">
        <v>406</v>
      </c>
      <c r="J42" s="121">
        <v>0</v>
      </c>
    </row>
    <row r="43" spans="1:10" x14ac:dyDescent="0.2">
      <c r="A43" s="121">
        <v>6</v>
      </c>
      <c r="B43" s="121">
        <v>2016</v>
      </c>
      <c r="C43" s="121" t="s">
        <v>50</v>
      </c>
      <c r="D43" s="121" t="s">
        <v>404</v>
      </c>
      <c r="E43" s="121">
        <v>49.290799999999997</v>
      </c>
      <c r="F43" s="121">
        <v>-122.9503</v>
      </c>
      <c r="G43" s="121" t="s">
        <v>403</v>
      </c>
      <c r="H43" s="121" t="s">
        <v>400</v>
      </c>
      <c r="I43" s="121" t="s">
        <v>407</v>
      </c>
      <c r="J43" s="121">
        <v>2</v>
      </c>
    </row>
    <row r="44" spans="1:10" x14ac:dyDescent="0.2">
      <c r="A44" s="121">
        <v>7</v>
      </c>
      <c r="B44" s="121">
        <v>2016</v>
      </c>
      <c r="C44" s="121" t="s">
        <v>50</v>
      </c>
      <c r="D44" s="121" t="s">
        <v>51</v>
      </c>
      <c r="E44" s="121">
        <v>49.076599999999999</v>
      </c>
      <c r="F44" s="121">
        <v>-122.20269999999999</v>
      </c>
      <c r="G44" s="121" t="s">
        <v>402</v>
      </c>
      <c r="H44" s="121" t="s">
        <v>400</v>
      </c>
      <c r="I44" s="121" t="s">
        <v>406</v>
      </c>
      <c r="J44" s="121">
        <v>33</v>
      </c>
    </row>
    <row r="45" spans="1:10" x14ac:dyDescent="0.2">
      <c r="A45" s="121">
        <v>7</v>
      </c>
      <c r="B45" s="121">
        <v>2016</v>
      </c>
      <c r="C45" s="121" t="s">
        <v>50</v>
      </c>
      <c r="D45" s="121" t="s">
        <v>51</v>
      </c>
      <c r="E45" s="121">
        <v>49.076599999999999</v>
      </c>
      <c r="F45" s="121">
        <v>-122.20269999999999</v>
      </c>
      <c r="G45" s="121" t="s">
        <v>402</v>
      </c>
      <c r="H45" s="121" t="s">
        <v>400</v>
      </c>
      <c r="I45" s="121" t="s">
        <v>407</v>
      </c>
      <c r="J45" s="121">
        <v>0</v>
      </c>
    </row>
    <row r="46" spans="1:10" x14ac:dyDescent="0.2">
      <c r="A46" s="121">
        <v>7</v>
      </c>
      <c r="B46" s="121">
        <v>2016</v>
      </c>
      <c r="C46" s="121" t="s">
        <v>50</v>
      </c>
      <c r="D46" s="121" t="s">
        <v>46</v>
      </c>
      <c r="E46" s="121">
        <v>49.268500000000003</v>
      </c>
      <c r="F46" s="121">
        <v>-122.93129999999999</v>
      </c>
      <c r="G46" s="121" t="s">
        <v>403</v>
      </c>
      <c r="H46" s="121" t="s">
        <v>416</v>
      </c>
      <c r="I46" s="121" t="s">
        <v>406</v>
      </c>
      <c r="J46" s="121">
        <v>9</v>
      </c>
    </row>
    <row r="47" spans="1:10" x14ac:dyDescent="0.2">
      <c r="A47" s="121">
        <v>7</v>
      </c>
      <c r="B47" s="121">
        <v>2016</v>
      </c>
      <c r="C47" s="121" t="s">
        <v>50</v>
      </c>
      <c r="D47" s="121" t="s">
        <v>46</v>
      </c>
      <c r="E47" s="121">
        <v>49.268500000000003</v>
      </c>
      <c r="F47" s="121">
        <v>-122.93129999999999</v>
      </c>
      <c r="G47" s="121" t="s">
        <v>403</v>
      </c>
      <c r="H47" s="121" t="s">
        <v>416</v>
      </c>
      <c r="I47" s="121" t="s">
        <v>407</v>
      </c>
      <c r="J47" s="121">
        <v>0</v>
      </c>
    </row>
    <row r="48" spans="1:10" x14ac:dyDescent="0.2">
      <c r="A48" s="121">
        <v>7</v>
      </c>
      <c r="B48" s="121">
        <v>2016</v>
      </c>
      <c r="C48" s="121" t="s">
        <v>50</v>
      </c>
      <c r="D48" s="121" t="s">
        <v>46</v>
      </c>
      <c r="E48" s="121">
        <v>49.268500000000003</v>
      </c>
      <c r="F48" s="121">
        <v>-122.93129999999999</v>
      </c>
      <c r="G48" s="121" t="s">
        <v>403</v>
      </c>
      <c r="H48" s="121" t="s">
        <v>416</v>
      </c>
      <c r="I48" s="121" t="s">
        <v>408</v>
      </c>
      <c r="J48" s="121">
        <v>10</v>
      </c>
    </row>
    <row r="49" spans="1:10" x14ac:dyDescent="0.2">
      <c r="A49" s="121">
        <v>7</v>
      </c>
      <c r="B49" s="121">
        <v>2016</v>
      </c>
      <c r="C49" s="121" t="s">
        <v>50</v>
      </c>
      <c r="D49" s="121" t="s">
        <v>404</v>
      </c>
      <c r="E49" s="121">
        <v>49.290799999999997</v>
      </c>
      <c r="F49" s="121">
        <v>-122.9503</v>
      </c>
      <c r="G49" s="121" t="s">
        <v>403</v>
      </c>
      <c r="H49" s="121" t="s">
        <v>400</v>
      </c>
      <c r="I49" s="121" t="s">
        <v>406</v>
      </c>
      <c r="J49" s="121">
        <v>0</v>
      </c>
    </row>
    <row r="50" spans="1:10" x14ac:dyDescent="0.2">
      <c r="A50" s="121">
        <v>7</v>
      </c>
      <c r="B50" s="121">
        <v>2016</v>
      </c>
      <c r="C50" s="121" t="s">
        <v>50</v>
      </c>
      <c r="D50" s="121" t="s">
        <v>404</v>
      </c>
      <c r="E50" s="121">
        <v>49.290799999999997</v>
      </c>
      <c r="F50" s="121">
        <v>-122.9503</v>
      </c>
      <c r="G50" s="121" t="s">
        <v>403</v>
      </c>
      <c r="H50" s="121" t="s">
        <v>400</v>
      </c>
      <c r="I50" s="121" t="s">
        <v>407</v>
      </c>
      <c r="J50" s="121">
        <v>3</v>
      </c>
    </row>
    <row r="51" spans="1:10" x14ac:dyDescent="0.2">
      <c r="A51" s="121">
        <v>8</v>
      </c>
      <c r="B51" s="121">
        <v>2016</v>
      </c>
      <c r="C51" s="121" t="s">
        <v>50</v>
      </c>
      <c r="D51" s="121" t="s">
        <v>51</v>
      </c>
      <c r="E51" s="121">
        <v>49.076599999999999</v>
      </c>
      <c r="F51" s="121">
        <v>-122.20269999999999</v>
      </c>
      <c r="G51" s="121" t="s">
        <v>402</v>
      </c>
      <c r="H51" s="121" t="s">
        <v>400</v>
      </c>
      <c r="I51" s="121" t="s">
        <v>406</v>
      </c>
      <c r="J51" s="121">
        <v>32</v>
      </c>
    </row>
    <row r="52" spans="1:10" x14ac:dyDescent="0.2">
      <c r="A52" s="121">
        <v>8</v>
      </c>
      <c r="B52" s="121">
        <v>2016</v>
      </c>
      <c r="C52" s="121" t="s">
        <v>50</v>
      </c>
      <c r="D52" s="121" t="s">
        <v>51</v>
      </c>
      <c r="E52" s="121">
        <v>49.076599999999999</v>
      </c>
      <c r="F52" s="121">
        <v>-122.20269999999999</v>
      </c>
      <c r="G52" s="121" t="s">
        <v>402</v>
      </c>
      <c r="H52" s="121" t="s">
        <v>400</v>
      </c>
      <c r="I52" s="121" t="s">
        <v>407</v>
      </c>
      <c r="J52" s="121">
        <v>0</v>
      </c>
    </row>
    <row r="53" spans="1:10" x14ac:dyDescent="0.2">
      <c r="A53" s="121">
        <v>8</v>
      </c>
      <c r="B53" s="121">
        <v>2016</v>
      </c>
      <c r="C53" s="121" t="s">
        <v>50</v>
      </c>
      <c r="D53" s="121" t="s">
        <v>46</v>
      </c>
      <c r="E53" s="121">
        <v>49.268500000000003</v>
      </c>
      <c r="F53" s="121">
        <v>-122.93129999999999</v>
      </c>
      <c r="G53" s="121" t="s">
        <v>403</v>
      </c>
      <c r="H53" s="121" t="s">
        <v>416</v>
      </c>
      <c r="I53" s="121" t="s">
        <v>406</v>
      </c>
      <c r="J53" s="121">
        <v>9</v>
      </c>
    </row>
    <row r="54" spans="1:10" x14ac:dyDescent="0.2">
      <c r="A54" s="121">
        <v>8</v>
      </c>
      <c r="B54" s="121">
        <v>2016</v>
      </c>
      <c r="C54" s="121" t="s">
        <v>50</v>
      </c>
      <c r="D54" s="121" t="s">
        <v>46</v>
      </c>
      <c r="E54" s="121">
        <v>49.268500000000003</v>
      </c>
      <c r="F54" s="121">
        <v>-122.93129999999999</v>
      </c>
      <c r="G54" s="121" t="s">
        <v>403</v>
      </c>
      <c r="H54" s="121" t="s">
        <v>416</v>
      </c>
      <c r="I54" s="121" t="s">
        <v>407</v>
      </c>
      <c r="J54" s="121">
        <v>0</v>
      </c>
    </row>
    <row r="55" spans="1:10" x14ac:dyDescent="0.2">
      <c r="A55" s="121">
        <v>8</v>
      </c>
      <c r="B55" s="121">
        <v>2016</v>
      </c>
      <c r="C55" s="121" t="s">
        <v>50</v>
      </c>
      <c r="D55" s="121" t="s">
        <v>46</v>
      </c>
      <c r="E55" s="121">
        <v>49.268500000000003</v>
      </c>
      <c r="F55" s="121">
        <v>-122.93129999999999</v>
      </c>
      <c r="G55" s="121" t="s">
        <v>403</v>
      </c>
      <c r="H55" s="121" t="s">
        <v>416</v>
      </c>
      <c r="I55" s="121" t="s">
        <v>408</v>
      </c>
      <c r="J55" s="121">
        <v>10</v>
      </c>
    </row>
    <row r="56" spans="1:10" x14ac:dyDescent="0.2">
      <c r="A56" s="121">
        <v>8</v>
      </c>
      <c r="B56" s="121">
        <v>2016</v>
      </c>
      <c r="C56" s="121" t="s">
        <v>50</v>
      </c>
      <c r="D56" s="121" t="s">
        <v>404</v>
      </c>
      <c r="E56" s="121">
        <v>49.290799999999997</v>
      </c>
      <c r="F56" s="121">
        <v>-122.9503</v>
      </c>
      <c r="G56" s="121" t="s">
        <v>403</v>
      </c>
      <c r="H56" s="121" t="s">
        <v>400</v>
      </c>
      <c r="I56" s="121" t="s">
        <v>406</v>
      </c>
      <c r="J56" s="121">
        <v>0</v>
      </c>
    </row>
    <row r="57" spans="1:10" x14ac:dyDescent="0.2">
      <c r="A57" s="121">
        <v>8</v>
      </c>
      <c r="B57" s="121">
        <v>2016</v>
      </c>
      <c r="C57" s="121" t="s">
        <v>50</v>
      </c>
      <c r="D57" s="121" t="s">
        <v>404</v>
      </c>
      <c r="E57" s="121">
        <v>49.290799999999997</v>
      </c>
      <c r="F57" s="121">
        <v>-122.9503</v>
      </c>
      <c r="G57" s="121" t="s">
        <v>403</v>
      </c>
      <c r="H57" s="121" t="s">
        <v>400</v>
      </c>
      <c r="I57" s="121" t="s">
        <v>407</v>
      </c>
      <c r="J57" s="121">
        <v>3</v>
      </c>
    </row>
    <row r="58" spans="1:10" x14ac:dyDescent="0.2">
      <c r="A58" s="121">
        <v>9</v>
      </c>
      <c r="B58" s="121">
        <v>2016</v>
      </c>
      <c r="C58" s="121" t="s">
        <v>50</v>
      </c>
      <c r="D58" s="121" t="s">
        <v>51</v>
      </c>
      <c r="E58" s="121">
        <v>49.076599999999999</v>
      </c>
      <c r="F58" s="121">
        <v>-122.20269999999999</v>
      </c>
      <c r="G58" s="121" t="s">
        <v>402</v>
      </c>
      <c r="H58" s="121" t="s">
        <v>400</v>
      </c>
      <c r="I58" s="121" t="s">
        <v>406</v>
      </c>
      <c r="J58" s="121">
        <v>31</v>
      </c>
    </row>
    <row r="59" spans="1:10" x14ac:dyDescent="0.2">
      <c r="A59" s="121">
        <v>9</v>
      </c>
      <c r="B59" s="121">
        <v>2016</v>
      </c>
      <c r="C59" s="121" t="s">
        <v>50</v>
      </c>
      <c r="D59" s="121" t="s">
        <v>51</v>
      </c>
      <c r="E59" s="121">
        <v>49.076599999999999</v>
      </c>
      <c r="F59" s="121">
        <v>-122.20269999999999</v>
      </c>
      <c r="G59" s="121" t="s">
        <v>402</v>
      </c>
      <c r="H59" s="121" t="s">
        <v>400</v>
      </c>
      <c r="I59" s="121" t="s">
        <v>407</v>
      </c>
      <c r="J59" s="121">
        <v>1</v>
      </c>
    </row>
    <row r="60" spans="1:10" x14ac:dyDescent="0.2">
      <c r="A60" s="121">
        <v>9</v>
      </c>
      <c r="B60" s="121">
        <v>2016</v>
      </c>
      <c r="C60" s="121" t="s">
        <v>50</v>
      </c>
      <c r="D60" s="121" t="s">
        <v>46</v>
      </c>
      <c r="E60" s="121">
        <v>49.268500000000003</v>
      </c>
      <c r="F60" s="121">
        <v>-122.93129999999999</v>
      </c>
      <c r="G60" s="121" t="s">
        <v>403</v>
      </c>
      <c r="H60" s="121" t="s">
        <v>416</v>
      </c>
      <c r="I60" s="121" t="s">
        <v>406</v>
      </c>
      <c r="J60" s="121">
        <v>9</v>
      </c>
    </row>
    <row r="61" spans="1:10" x14ac:dyDescent="0.2">
      <c r="A61" s="121">
        <v>9</v>
      </c>
      <c r="B61" s="121">
        <v>2016</v>
      </c>
      <c r="C61" s="121" t="s">
        <v>50</v>
      </c>
      <c r="D61" s="121" t="s">
        <v>46</v>
      </c>
      <c r="E61" s="121">
        <v>49.268500000000003</v>
      </c>
      <c r="F61" s="121">
        <v>-122.93129999999999</v>
      </c>
      <c r="G61" s="121" t="s">
        <v>403</v>
      </c>
      <c r="H61" s="121" t="s">
        <v>416</v>
      </c>
      <c r="I61" s="121" t="s">
        <v>407</v>
      </c>
      <c r="J61" s="121">
        <v>0</v>
      </c>
    </row>
    <row r="62" spans="1:10" x14ac:dyDescent="0.2">
      <c r="A62" s="121">
        <v>9</v>
      </c>
      <c r="B62" s="121">
        <v>2016</v>
      </c>
      <c r="C62" s="121" t="s">
        <v>50</v>
      </c>
      <c r="D62" s="121" t="s">
        <v>46</v>
      </c>
      <c r="E62" s="121">
        <v>49.268500000000003</v>
      </c>
      <c r="F62" s="121">
        <v>-122.93129999999999</v>
      </c>
      <c r="G62" s="121" t="s">
        <v>403</v>
      </c>
      <c r="H62" s="121" t="s">
        <v>416</v>
      </c>
      <c r="I62" s="121" t="s">
        <v>408</v>
      </c>
      <c r="J62" s="121">
        <v>9</v>
      </c>
    </row>
    <row r="63" spans="1:10" x14ac:dyDescent="0.2">
      <c r="A63" s="121">
        <v>9</v>
      </c>
      <c r="B63" s="121">
        <v>2016</v>
      </c>
      <c r="C63" s="121" t="s">
        <v>50</v>
      </c>
      <c r="D63" s="121" t="s">
        <v>404</v>
      </c>
      <c r="E63" s="121">
        <v>49.290799999999997</v>
      </c>
      <c r="F63" s="121">
        <v>-122.9503</v>
      </c>
      <c r="G63" s="121" t="s">
        <v>403</v>
      </c>
      <c r="H63" s="121" t="s">
        <v>400</v>
      </c>
      <c r="I63" s="121" t="s">
        <v>406</v>
      </c>
      <c r="J63" s="121">
        <v>0</v>
      </c>
    </row>
    <row r="64" spans="1:10" x14ac:dyDescent="0.2">
      <c r="A64" s="121">
        <v>9</v>
      </c>
      <c r="B64" s="121">
        <v>2016</v>
      </c>
      <c r="C64" s="121" t="s">
        <v>50</v>
      </c>
      <c r="D64" s="121" t="s">
        <v>404</v>
      </c>
      <c r="E64" s="121">
        <v>49.290799999999997</v>
      </c>
      <c r="F64" s="121">
        <v>-122.9503</v>
      </c>
      <c r="G64" s="121" t="s">
        <v>403</v>
      </c>
      <c r="H64" s="121" t="s">
        <v>400</v>
      </c>
      <c r="I64" s="121" t="s">
        <v>407</v>
      </c>
      <c r="J64" s="121">
        <v>1</v>
      </c>
    </row>
    <row r="65" spans="1:10" x14ac:dyDescent="0.2">
      <c r="A65" s="121">
        <v>10</v>
      </c>
      <c r="B65" s="121">
        <v>2016</v>
      </c>
      <c r="C65" s="121" t="s">
        <v>50</v>
      </c>
      <c r="D65" s="121" t="s">
        <v>51</v>
      </c>
      <c r="E65" s="121">
        <v>49.076599999999999</v>
      </c>
      <c r="F65" s="121">
        <v>-122.20269999999999</v>
      </c>
      <c r="G65" s="121" t="s">
        <v>402</v>
      </c>
      <c r="H65" s="121" t="s">
        <v>400</v>
      </c>
      <c r="I65" s="121" t="s">
        <v>406</v>
      </c>
      <c r="J65" s="121">
        <v>23</v>
      </c>
    </row>
    <row r="66" spans="1:10" x14ac:dyDescent="0.2">
      <c r="A66" s="121">
        <v>10</v>
      </c>
      <c r="B66" s="121">
        <v>2016</v>
      </c>
      <c r="C66" s="121" t="s">
        <v>50</v>
      </c>
      <c r="D66" s="121" t="s">
        <v>51</v>
      </c>
      <c r="E66" s="121">
        <v>49.076599999999999</v>
      </c>
      <c r="F66" s="121">
        <v>-122.20269999999999</v>
      </c>
      <c r="G66" s="121" t="s">
        <v>402</v>
      </c>
      <c r="H66" s="121" t="s">
        <v>400</v>
      </c>
      <c r="I66" s="121" t="s">
        <v>407</v>
      </c>
      <c r="J66" s="121">
        <v>0</v>
      </c>
    </row>
    <row r="67" spans="1:10" x14ac:dyDescent="0.2">
      <c r="A67" s="121">
        <v>10</v>
      </c>
      <c r="B67" s="121">
        <v>2016</v>
      </c>
      <c r="C67" s="121" t="s">
        <v>50</v>
      </c>
      <c r="D67" s="121" t="s">
        <v>46</v>
      </c>
      <c r="E67" s="121">
        <v>49.268500000000003</v>
      </c>
      <c r="F67" s="121">
        <v>-122.93129999999999</v>
      </c>
      <c r="G67" s="121" t="s">
        <v>403</v>
      </c>
      <c r="H67" s="121" t="s">
        <v>416</v>
      </c>
      <c r="I67" s="121" t="s">
        <v>406</v>
      </c>
      <c r="J67" s="121">
        <v>9</v>
      </c>
    </row>
    <row r="68" spans="1:10" x14ac:dyDescent="0.2">
      <c r="A68" s="121">
        <v>10</v>
      </c>
      <c r="B68" s="121">
        <v>2016</v>
      </c>
      <c r="C68" s="121" t="s">
        <v>50</v>
      </c>
      <c r="D68" s="121" t="s">
        <v>46</v>
      </c>
      <c r="E68" s="121">
        <v>49.268500000000003</v>
      </c>
      <c r="F68" s="121">
        <v>-122.93129999999999</v>
      </c>
      <c r="G68" s="121" t="s">
        <v>403</v>
      </c>
      <c r="H68" s="121" t="s">
        <v>416</v>
      </c>
      <c r="I68" s="121" t="s">
        <v>407</v>
      </c>
      <c r="J68" s="121">
        <v>0</v>
      </c>
    </row>
    <row r="69" spans="1:10" x14ac:dyDescent="0.2">
      <c r="A69" s="121">
        <v>10</v>
      </c>
      <c r="B69" s="121">
        <v>2016</v>
      </c>
      <c r="C69" s="121" t="s">
        <v>50</v>
      </c>
      <c r="D69" s="121" t="s">
        <v>46</v>
      </c>
      <c r="E69" s="121">
        <v>49.268500000000003</v>
      </c>
      <c r="F69" s="121">
        <v>-122.93129999999999</v>
      </c>
      <c r="G69" s="121" t="s">
        <v>403</v>
      </c>
      <c r="H69" s="121" t="s">
        <v>416</v>
      </c>
      <c r="I69" s="121" t="s">
        <v>408</v>
      </c>
      <c r="J69" s="121">
        <v>8</v>
      </c>
    </row>
    <row r="70" spans="1:10" x14ac:dyDescent="0.2">
      <c r="A70" s="121">
        <v>10</v>
      </c>
      <c r="B70" s="121">
        <v>2016</v>
      </c>
      <c r="C70" s="121" t="s">
        <v>50</v>
      </c>
      <c r="D70" s="121" t="s">
        <v>404</v>
      </c>
      <c r="E70" s="121">
        <v>49.290799999999997</v>
      </c>
      <c r="F70" s="121">
        <v>-122.9503</v>
      </c>
      <c r="G70" s="121" t="s">
        <v>403</v>
      </c>
      <c r="H70" s="121" t="s">
        <v>400</v>
      </c>
      <c r="I70" s="121" t="s">
        <v>406</v>
      </c>
      <c r="J70" s="121">
        <v>0</v>
      </c>
    </row>
    <row r="71" spans="1:10" x14ac:dyDescent="0.2">
      <c r="A71" s="121">
        <v>10</v>
      </c>
      <c r="B71" s="121">
        <v>2016</v>
      </c>
      <c r="C71" s="121" t="s">
        <v>50</v>
      </c>
      <c r="D71" s="121" t="s">
        <v>404</v>
      </c>
      <c r="E71" s="121">
        <v>49.290799999999997</v>
      </c>
      <c r="F71" s="121">
        <v>-122.9503</v>
      </c>
      <c r="G71" s="121" t="s">
        <v>403</v>
      </c>
      <c r="H71" s="121" t="s">
        <v>400</v>
      </c>
      <c r="I71" s="121" t="s">
        <v>407</v>
      </c>
      <c r="J71" s="121">
        <v>5</v>
      </c>
    </row>
    <row r="72" spans="1:10" x14ac:dyDescent="0.2">
      <c r="A72" s="121">
        <v>11</v>
      </c>
      <c r="B72" s="121">
        <v>2016</v>
      </c>
      <c r="C72" s="121" t="s">
        <v>50</v>
      </c>
      <c r="D72" s="121" t="s">
        <v>51</v>
      </c>
      <c r="E72" s="121">
        <v>49.076599999999999</v>
      </c>
      <c r="F72" s="121">
        <v>-122.20269999999999</v>
      </c>
      <c r="G72" s="121" t="s">
        <v>402</v>
      </c>
      <c r="H72" s="121" t="s">
        <v>400</v>
      </c>
      <c r="I72" s="121" t="s">
        <v>406</v>
      </c>
      <c r="J72" s="121">
        <v>28</v>
      </c>
    </row>
    <row r="73" spans="1:10" x14ac:dyDescent="0.2">
      <c r="A73" s="121">
        <v>11</v>
      </c>
      <c r="B73" s="121">
        <v>2016</v>
      </c>
      <c r="C73" s="121" t="s">
        <v>50</v>
      </c>
      <c r="D73" s="121" t="s">
        <v>51</v>
      </c>
      <c r="E73" s="121">
        <v>49.076599999999999</v>
      </c>
      <c r="F73" s="121">
        <v>-122.20269999999999</v>
      </c>
      <c r="G73" s="121" t="s">
        <v>402</v>
      </c>
      <c r="H73" s="121" t="s">
        <v>400</v>
      </c>
      <c r="I73" s="121" t="s">
        <v>407</v>
      </c>
      <c r="J73" s="121">
        <v>0</v>
      </c>
    </row>
    <row r="74" spans="1:10" x14ac:dyDescent="0.2">
      <c r="A74" s="121">
        <v>11</v>
      </c>
      <c r="B74" s="121">
        <v>2016</v>
      </c>
      <c r="C74" s="121" t="s">
        <v>50</v>
      </c>
      <c r="D74" s="121" t="s">
        <v>46</v>
      </c>
      <c r="E74" s="121">
        <v>49.268500000000003</v>
      </c>
      <c r="F74" s="121">
        <v>-122.93129999999999</v>
      </c>
      <c r="G74" s="121" t="s">
        <v>403</v>
      </c>
      <c r="H74" s="121" t="s">
        <v>416</v>
      </c>
      <c r="I74" s="121" t="s">
        <v>406</v>
      </c>
      <c r="J74" s="121">
        <v>9</v>
      </c>
    </row>
    <row r="75" spans="1:10" x14ac:dyDescent="0.2">
      <c r="A75" s="121">
        <v>11</v>
      </c>
      <c r="B75" s="121">
        <v>2016</v>
      </c>
      <c r="C75" s="121" t="s">
        <v>50</v>
      </c>
      <c r="D75" s="121" t="s">
        <v>46</v>
      </c>
      <c r="E75" s="121">
        <v>49.268500000000003</v>
      </c>
      <c r="F75" s="121">
        <v>-122.93129999999999</v>
      </c>
      <c r="G75" s="121" t="s">
        <v>403</v>
      </c>
      <c r="H75" s="121" t="s">
        <v>416</v>
      </c>
      <c r="I75" s="121" t="s">
        <v>407</v>
      </c>
      <c r="J75" s="121">
        <v>0</v>
      </c>
    </row>
    <row r="76" spans="1:10" x14ac:dyDescent="0.2">
      <c r="A76" s="121">
        <v>11</v>
      </c>
      <c r="B76" s="121">
        <v>2016</v>
      </c>
      <c r="C76" s="121" t="s">
        <v>50</v>
      </c>
      <c r="D76" s="121" t="s">
        <v>46</v>
      </c>
      <c r="E76" s="121">
        <v>49.268500000000003</v>
      </c>
      <c r="F76" s="121">
        <v>-122.93129999999999</v>
      </c>
      <c r="G76" s="121" t="s">
        <v>403</v>
      </c>
      <c r="H76" s="121" t="s">
        <v>416</v>
      </c>
      <c r="I76" s="121" t="s">
        <v>408</v>
      </c>
      <c r="J76" s="121">
        <v>8</v>
      </c>
    </row>
    <row r="77" spans="1:10" x14ac:dyDescent="0.2">
      <c r="A77" s="121">
        <v>11</v>
      </c>
      <c r="B77" s="121">
        <v>2016</v>
      </c>
      <c r="C77" s="121" t="s">
        <v>50</v>
      </c>
      <c r="D77" s="121" t="s">
        <v>404</v>
      </c>
      <c r="E77" s="121">
        <v>49.290799999999997</v>
      </c>
      <c r="F77" s="121">
        <v>-122.9503</v>
      </c>
      <c r="G77" s="121" t="s">
        <v>403</v>
      </c>
      <c r="H77" s="121" t="s">
        <v>400</v>
      </c>
      <c r="I77" s="121" t="s">
        <v>406</v>
      </c>
      <c r="J77" s="121">
        <v>0</v>
      </c>
    </row>
    <row r="78" spans="1:10" x14ac:dyDescent="0.2">
      <c r="A78" s="121">
        <v>11</v>
      </c>
      <c r="B78" s="121">
        <v>2016</v>
      </c>
      <c r="C78" s="121" t="s">
        <v>50</v>
      </c>
      <c r="D78" s="121" t="s">
        <v>404</v>
      </c>
      <c r="E78" s="121">
        <v>49.290799999999997</v>
      </c>
      <c r="F78" s="121">
        <v>-122.9503</v>
      </c>
      <c r="G78" s="121" t="s">
        <v>403</v>
      </c>
      <c r="H78" s="121" t="s">
        <v>400</v>
      </c>
      <c r="I78" s="121" t="s">
        <v>407</v>
      </c>
      <c r="J78" s="121">
        <v>6</v>
      </c>
    </row>
    <row r="79" spans="1:10" x14ac:dyDescent="0.2">
      <c r="A79" s="121">
        <v>12</v>
      </c>
      <c r="B79" s="121">
        <v>2016</v>
      </c>
      <c r="C79" s="121" t="s">
        <v>50</v>
      </c>
      <c r="D79" s="121" t="s">
        <v>51</v>
      </c>
      <c r="E79" s="121">
        <v>49.076599999999999</v>
      </c>
      <c r="F79" s="121">
        <v>-122.20269999999999</v>
      </c>
      <c r="G79" s="121" t="s">
        <v>402</v>
      </c>
      <c r="H79" s="121" t="s">
        <v>400</v>
      </c>
      <c r="I79" s="121" t="s">
        <v>406</v>
      </c>
      <c r="J79" s="121">
        <v>24</v>
      </c>
    </row>
    <row r="80" spans="1:10" x14ac:dyDescent="0.2">
      <c r="A80" s="121">
        <v>12</v>
      </c>
      <c r="B80" s="121">
        <v>2016</v>
      </c>
      <c r="C80" s="121" t="s">
        <v>50</v>
      </c>
      <c r="D80" s="121" t="s">
        <v>51</v>
      </c>
      <c r="E80" s="121">
        <v>49.076599999999999</v>
      </c>
      <c r="F80" s="121">
        <v>-122.20269999999999</v>
      </c>
      <c r="G80" s="121" t="s">
        <v>402</v>
      </c>
      <c r="H80" s="121" t="s">
        <v>400</v>
      </c>
      <c r="I80" s="121" t="s">
        <v>407</v>
      </c>
      <c r="J80" s="121">
        <v>0</v>
      </c>
    </row>
    <row r="81" spans="1:10" x14ac:dyDescent="0.2">
      <c r="A81" s="121">
        <v>12</v>
      </c>
      <c r="B81" s="121">
        <v>2016</v>
      </c>
      <c r="C81" s="121" t="s">
        <v>50</v>
      </c>
      <c r="D81" s="121" t="s">
        <v>46</v>
      </c>
      <c r="E81" s="121">
        <v>49.268500000000003</v>
      </c>
      <c r="F81" s="121">
        <v>-122.93129999999999</v>
      </c>
      <c r="G81" s="121" t="s">
        <v>403</v>
      </c>
      <c r="H81" s="121" t="s">
        <v>416</v>
      </c>
      <c r="I81" s="121" t="s">
        <v>406</v>
      </c>
      <c r="J81" s="121">
        <v>9</v>
      </c>
    </row>
    <row r="82" spans="1:10" x14ac:dyDescent="0.2">
      <c r="A82" s="121">
        <v>12</v>
      </c>
      <c r="B82" s="121">
        <v>2016</v>
      </c>
      <c r="C82" s="121" t="s">
        <v>50</v>
      </c>
      <c r="D82" s="121" t="s">
        <v>46</v>
      </c>
      <c r="E82" s="121">
        <v>49.268500000000003</v>
      </c>
      <c r="F82" s="121">
        <v>-122.93129999999999</v>
      </c>
      <c r="G82" s="121" t="s">
        <v>403</v>
      </c>
      <c r="H82" s="121" t="s">
        <v>416</v>
      </c>
      <c r="I82" s="121" t="s">
        <v>407</v>
      </c>
      <c r="J82" s="121">
        <v>0</v>
      </c>
    </row>
    <row r="83" spans="1:10" x14ac:dyDescent="0.2">
      <c r="A83" s="121">
        <v>12</v>
      </c>
      <c r="B83" s="121">
        <v>2016</v>
      </c>
      <c r="C83" s="121" t="s">
        <v>50</v>
      </c>
      <c r="D83" s="121" t="s">
        <v>46</v>
      </c>
      <c r="E83" s="121">
        <v>49.268500000000003</v>
      </c>
      <c r="F83" s="121">
        <v>-122.93129999999999</v>
      </c>
      <c r="G83" s="121" t="s">
        <v>403</v>
      </c>
      <c r="H83" s="121" t="s">
        <v>416</v>
      </c>
      <c r="I83" s="121" t="s">
        <v>408</v>
      </c>
      <c r="J83" s="121">
        <v>8</v>
      </c>
    </row>
    <row r="84" spans="1:10" x14ac:dyDescent="0.2">
      <c r="A84" s="121">
        <v>12</v>
      </c>
      <c r="B84" s="121">
        <v>2016</v>
      </c>
      <c r="C84" s="121" t="s">
        <v>50</v>
      </c>
      <c r="D84" s="121" t="s">
        <v>404</v>
      </c>
      <c r="E84" s="121">
        <v>49.290799999999997</v>
      </c>
      <c r="F84" s="121">
        <v>-122.9503</v>
      </c>
      <c r="G84" s="121" t="s">
        <v>403</v>
      </c>
      <c r="H84" s="121" t="s">
        <v>400</v>
      </c>
      <c r="I84" s="121" t="s">
        <v>406</v>
      </c>
      <c r="J84" s="121">
        <v>0</v>
      </c>
    </row>
    <row r="85" spans="1:10" x14ac:dyDescent="0.2">
      <c r="A85" s="121">
        <v>12</v>
      </c>
      <c r="B85" s="121">
        <v>2016</v>
      </c>
      <c r="C85" s="121" t="s">
        <v>50</v>
      </c>
      <c r="D85" s="121" t="s">
        <v>404</v>
      </c>
      <c r="E85" s="121">
        <v>49.290799999999997</v>
      </c>
      <c r="F85" s="121">
        <v>-122.9503</v>
      </c>
      <c r="G85" s="121" t="s">
        <v>403</v>
      </c>
      <c r="H85" s="121" t="s">
        <v>400</v>
      </c>
      <c r="I85" s="121" t="s">
        <v>407</v>
      </c>
      <c r="J85" s="121">
        <v>5</v>
      </c>
    </row>
    <row r="86" spans="1:10" x14ac:dyDescent="0.2">
      <c r="A86" s="121">
        <v>1</v>
      </c>
      <c r="B86" s="121">
        <v>2017</v>
      </c>
      <c r="C86" s="121" t="s">
        <v>50</v>
      </c>
      <c r="D86" s="121" t="s">
        <v>51</v>
      </c>
      <c r="E86" s="121">
        <v>49.076599999999999</v>
      </c>
      <c r="F86" s="121">
        <v>-122.20269999999999</v>
      </c>
      <c r="G86" s="121" t="s">
        <v>402</v>
      </c>
      <c r="H86" s="121" t="s">
        <v>400</v>
      </c>
      <c r="I86" s="121" t="s">
        <v>406</v>
      </c>
      <c r="J86" s="121">
        <v>24</v>
      </c>
    </row>
    <row r="87" spans="1:10" x14ac:dyDescent="0.2">
      <c r="A87" s="121">
        <v>1</v>
      </c>
      <c r="B87" s="121">
        <v>2017</v>
      </c>
      <c r="C87" s="121" t="s">
        <v>50</v>
      </c>
      <c r="D87" s="121" t="s">
        <v>51</v>
      </c>
      <c r="E87" s="121">
        <v>49.076599999999999</v>
      </c>
      <c r="F87" s="121">
        <v>-122.20269999999999</v>
      </c>
      <c r="G87" s="121" t="s">
        <v>402</v>
      </c>
      <c r="H87" s="121" t="s">
        <v>400</v>
      </c>
      <c r="I87" s="121" t="s">
        <v>407</v>
      </c>
      <c r="J87" s="121">
        <v>0</v>
      </c>
    </row>
    <row r="88" spans="1:10" x14ac:dyDescent="0.2">
      <c r="A88" s="121">
        <v>1</v>
      </c>
      <c r="B88" s="121">
        <v>2017</v>
      </c>
      <c r="C88" s="121" t="s">
        <v>50</v>
      </c>
      <c r="D88" s="121" t="s">
        <v>46</v>
      </c>
      <c r="E88" s="121">
        <v>49.268500000000003</v>
      </c>
      <c r="F88" s="121">
        <v>-122.93129999999999</v>
      </c>
      <c r="G88" s="121" t="s">
        <v>403</v>
      </c>
      <c r="H88" s="121" t="s">
        <v>416</v>
      </c>
      <c r="I88" s="121" t="s">
        <v>406</v>
      </c>
      <c r="J88" s="121">
        <v>13</v>
      </c>
    </row>
    <row r="89" spans="1:10" x14ac:dyDescent="0.2">
      <c r="A89" s="121">
        <v>1</v>
      </c>
      <c r="B89" s="121">
        <v>2017</v>
      </c>
      <c r="C89" s="121" t="s">
        <v>50</v>
      </c>
      <c r="D89" s="121" t="s">
        <v>46</v>
      </c>
      <c r="E89" s="121">
        <v>49.268500000000003</v>
      </c>
      <c r="F89" s="121">
        <v>-122.93129999999999</v>
      </c>
      <c r="G89" s="121" t="s">
        <v>403</v>
      </c>
      <c r="H89" s="121" t="s">
        <v>416</v>
      </c>
      <c r="I89" s="121" t="s">
        <v>407</v>
      </c>
      <c r="J89" s="121">
        <v>0</v>
      </c>
    </row>
    <row r="90" spans="1:10" x14ac:dyDescent="0.2">
      <c r="A90" s="121">
        <v>1</v>
      </c>
      <c r="B90" s="121">
        <v>2017</v>
      </c>
      <c r="C90" s="121" t="s">
        <v>50</v>
      </c>
      <c r="D90" s="121" t="s">
        <v>46</v>
      </c>
      <c r="E90" s="121">
        <v>49.268500000000003</v>
      </c>
      <c r="F90" s="121">
        <v>-122.93129999999999</v>
      </c>
      <c r="G90" s="121" t="s">
        <v>403</v>
      </c>
      <c r="H90" s="121" t="s">
        <v>416</v>
      </c>
      <c r="I90" s="121" t="s">
        <v>408</v>
      </c>
      <c r="J90" s="121">
        <v>8</v>
      </c>
    </row>
    <row r="91" spans="1:10" x14ac:dyDescent="0.2">
      <c r="A91" s="121">
        <v>1</v>
      </c>
      <c r="B91" s="121">
        <v>2017</v>
      </c>
      <c r="C91" s="121" t="s">
        <v>50</v>
      </c>
      <c r="D91" s="121" t="s">
        <v>404</v>
      </c>
      <c r="E91" s="121">
        <v>49.290799999999997</v>
      </c>
      <c r="F91" s="121">
        <v>-122.9503</v>
      </c>
      <c r="G91" s="121" t="s">
        <v>403</v>
      </c>
      <c r="H91" s="121" t="s">
        <v>400</v>
      </c>
      <c r="I91" s="121" t="s">
        <v>406</v>
      </c>
      <c r="J91" s="121">
        <v>1</v>
      </c>
    </row>
    <row r="92" spans="1:10" x14ac:dyDescent="0.2">
      <c r="A92" s="121">
        <v>1</v>
      </c>
      <c r="B92" s="121">
        <v>2017</v>
      </c>
      <c r="C92" s="121" t="s">
        <v>50</v>
      </c>
      <c r="D92" s="121" t="s">
        <v>404</v>
      </c>
      <c r="E92" s="121">
        <v>49.290799999999997</v>
      </c>
      <c r="F92" s="121">
        <v>-122.9503</v>
      </c>
      <c r="G92" s="121" t="s">
        <v>403</v>
      </c>
      <c r="H92" s="121" t="s">
        <v>400</v>
      </c>
      <c r="I92" s="121" t="s">
        <v>407</v>
      </c>
      <c r="J92" s="121">
        <v>2</v>
      </c>
    </row>
    <row r="93" spans="1:10" x14ac:dyDescent="0.2">
      <c r="A93" s="121">
        <v>2</v>
      </c>
      <c r="B93" s="121">
        <v>2017</v>
      </c>
      <c r="C93" s="121" t="s">
        <v>50</v>
      </c>
      <c r="D93" s="121" t="s">
        <v>51</v>
      </c>
      <c r="E93" s="121">
        <v>49.076599999999999</v>
      </c>
      <c r="F93" s="121">
        <v>-122.20269999999999</v>
      </c>
      <c r="G93" s="121" t="s">
        <v>402</v>
      </c>
      <c r="H93" s="121" t="s">
        <v>400</v>
      </c>
      <c r="I93" s="121" t="s">
        <v>406</v>
      </c>
      <c r="J93" s="121">
        <v>26</v>
      </c>
    </row>
    <row r="94" spans="1:10" x14ac:dyDescent="0.2">
      <c r="A94" s="121">
        <v>2</v>
      </c>
      <c r="B94" s="121">
        <v>2017</v>
      </c>
      <c r="C94" s="121" t="s">
        <v>50</v>
      </c>
      <c r="D94" s="121" t="s">
        <v>51</v>
      </c>
      <c r="E94" s="121">
        <v>49.076599999999999</v>
      </c>
      <c r="F94" s="121">
        <v>-122.20269999999999</v>
      </c>
      <c r="G94" s="121" t="s">
        <v>402</v>
      </c>
      <c r="H94" s="121" t="s">
        <v>400</v>
      </c>
      <c r="I94" s="121" t="s">
        <v>407</v>
      </c>
      <c r="J94" s="121">
        <v>0</v>
      </c>
    </row>
    <row r="95" spans="1:10" x14ac:dyDescent="0.2">
      <c r="A95" s="121">
        <v>2</v>
      </c>
      <c r="B95" s="121">
        <v>2017</v>
      </c>
      <c r="C95" s="121" t="s">
        <v>50</v>
      </c>
      <c r="D95" s="121" t="s">
        <v>46</v>
      </c>
      <c r="E95" s="121">
        <v>49.268500000000003</v>
      </c>
      <c r="F95" s="121">
        <v>-122.93129999999999</v>
      </c>
      <c r="G95" s="121" t="s">
        <v>403</v>
      </c>
      <c r="H95" s="121" t="s">
        <v>416</v>
      </c>
      <c r="I95" s="121" t="s">
        <v>406</v>
      </c>
      <c r="J95" s="121">
        <v>11</v>
      </c>
    </row>
    <row r="96" spans="1:10" x14ac:dyDescent="0.2">
      <c r="A96" s="121">
        <v>2</v>
      </c>
      <c r="B96" s="121">
        <v>2017</v>
      </c>
      <c r="C96" s="121" t="s">
        <v>50</v>
      </c>
      <c r="D96" s="121" t="s">
        <v>46</v>
      </c>
      <c r="E96" s="121">
        <v>49.268500000000003</v>
      </c>
      <c r="F96" s="121">
        <v>-122.93129999999999</v>
      </c>
      <c r="G96" s="121" t="s">
        <v>403</v>
      </c>
      <c r="H96" s="121" t="s">
        <v>416</v>
      </c>
      <c r="I96" s="121" t="s">
        <v>407</v>
      </c>
      <c r="J96" s="121">
        <v>0</v>
      </c>
    </row>
    <row r="97" spans="1:10" x14ac:dyDescent="0.2">
      <c r="A97" s="121">
        <v>2</v>
      </c>
      <c r="B97" s="121">
        <v>2017</v>
      </c>
      <c r="C97" s="121" t="s">
        <v>50</v>
      </c>
      <c r="D97" s="121" t="s">
        <v>46</v>
      </c>
      <c r="E97" s="121">
        <v>49.268500000000003</v>
      </c>
      <c r="F97" s="121">
        <v>-122.93129999999999</v>
      </c>
      <c r="G97" s="121" t="s">
        <v>403</v>
      </c>
      <c r="H97" s="121" t="s">
        <v>416</v>
      </c>
      <c r="I97" s="121" t="s">
        <v>408</v>
      </c>
      <c r="J97" s="121">
        <v>6</v>
      </c>
    </row>
    <row r="98" spans="1:10" x14ac:dyDescent="0.2">
      <c r="A98" s="121">
        <v>2</v>
      </c>
      <c r="B98" s="121">
        <v>2017</v>
      </c>
      <c r="C98" s="121" t="s">
        <v>50</v>
      </c>
      <c r="D98" s="121" t="s">
        <v>404</v>
      </c>
      <c r="E98" s="121">
        <v>49.290799999999997</v>
      </c>
      <c r="F98" s="121">
        <v>-122.9503</v>
      </c>
      <c r="G98" s="121" t="s">
        <v>403</v>
      </c>
      <c r="H98" s="121" t="s">
        <v>400</v>
      </c>
      <c r="I98" s="121" t="s">
        <v>406</v>
      </c>
      <c r="J98" s="121">
        <v>0</v>
      </c>
    </row>
    <row r="99" spans="1:10" x14ac:dyDescent="0.2">
      <c r="A99" s="121">
        <v>2</v>
      </c>
      <c r="B99" s="121">
        <v>2017</v>
      </c>
      <c r="C99" s="121" t="s">
        <v>50</v>
      </c>
      <c r="D99" s="121" t="s">
        <v>404</v>
      </c>
      <c r="E99" s="121">
        <v>49.290799999999997</v>
      </c>
      <c r="F99" s="121">
        <v>-122.9503</v>
      </c>
      <c r="G99" s="121" t="s">
        <v>403</v>
      </c>
      <c r="H99" s="121" t="s">
        <v>400</v>
      </c>
      <c r="I99" s="121" t="s">
        <v>407</v>
      </c>
      <c r="J99" s="121">
        <v>9</v>
      </c>
    </row>
    <row r="100" spans="1:10" x14ac:dyDescent="0.2">
      <c r="A100" s="121">
        <v>3</v>
      </c>
      <c r="B100" s="121">
        <v>2017</v>
      </c>
      <c r="C100" s="121" t="s">
        <v>50</v>
      </c>
      <c r="D100" s="121" t="s">
        <v>51</v>
      </c>
      <c r="E100" s="121">
        <v>49.076599999999999</v>
      </c>
      <c r="F100" s="121">
        <v>-122.20269999999999</v>
      </c>
      <c r="G100" s="121" t="s">
        <v>402</v>
      </c>
      <c r="H100" s="121" t="s">
        <v>400</v>
      </c>
      <c r="I100" s="121" t="s">
        <v>406</v>
      </c>
      <c r="J100" s="121">
        <v>24</v>
      </c>
    </row>
    <row r="101" spans="1:10" x14ac:dyDescent="0.2">
      <c r="A101" s="121">
        <v>3</v>
      </c>
      <c r="B101" s="121">
        <v>2017</v>
      </c>
      <c r="C101" s="121" t="s">
        <v>50</v>
      </c>
      <c r="D101" s="121" t="s">
        <v>51</v>
      </c>
      <c r="E101" s="121">
        <v>49.076599999999999</v>
      </c>
      <c r="F101" s="121">
        <v>-122.20269999999999</v>
      </c>
      <c r="G101" s="121" t="s">
        <v>402</v>
      </c>
      <c r="H101" s="121" t="s">
        <v>400</v>
      </c>
      <c r="I101" s="121" t="s">
        <v>407</v>
      </c>
      <c r="J101" s="121">
        <v>1</v>
      </c>
    </row>
    <row r="102" spans="1:10" x14ac:dyDescent="0.2">
      <c r="A102" s="121">
        <v>3</v>
      </c>
      <c r="B102" s="121">
        <v>2017</v>
      </c>
      <c r="C102" s="121" t="s">
        <v>50</v>
      </c>
      <c r="D102" s="121" t="s">
        <v>46</v>
      </c>
      <c r="E102" s="121">
        <v>49.268500000000003</v>
      </c>
      <c r="F102" s="121">
        <v>-122.93129999999999</v>
      </c>
      <c r="G102" s="121" t="s">
        <v>403</v>
      </c>
      <c r="H102" s="121" t="s">
        <v>416</v>
      </c>
      <c r="I102" s="121" t="s">
        <v>406</v>
      </c>
      <c r="J102" s="121">
        <v>12</v>
      </c>
    </row>
    <row r="103" spans="1:10" x14ac:dyDescent="0.2">
      <c r="A103" s="121">
        <v>3</v>
      </c>
      <c r="B103" s="121">
        <v>2017</v>
      </c>
      <c r="C103" s="121" t="s">
        <v>50</v>
      </c>
      <c r="D103" s="121" t="s">
        <v>46</v>
      </c>
      <c r="E103" s="121">
        <v>49.268500000000003</v>
      </c>
      <c r="F103" s="121">
        <v>-122.93129999999999</v>
      </c>
      <c r="G103" s="121" t="s">
        <v>403</v>
      </c>
      <c r="H103" s="121" t="s">
        <v>416</v>
      </c>
      <c r="I103" s="121" t="s">
        <v>407</v>
      </c>
      <c r="J103" s="121">
        <v>0</v>
      </c>
    </row>
    <row r="104" spans="1:10" x14ac:dyDescent="0.2">
      <c r="A104" s="121">
        <v>3</v>
      </c>
      <c r="B104" s="121">
        <v>2017</v>
      </c>
      <c r="C104" s="121" t="s">
        <v>50</v>
      </c>
      <c r="D104" s="121" t="s">
        <v>46</v>
      </c>
      <c r="E104" s="121">
        <v>49.268500000000003</v>
      </c>
      <c r="F104" s="121">
        <v>-122.93129999999999</v>
      </c>
      <c r="G104" s="121" t="s">
        <v>403</v>
      </c>
      <c r="H104" s="121" t="s">
        <v>416</v>
      </c>
      <c r="I104" s="121" t="s">
        <v>408</v>
      </c>
      <c r="J104" s="121">
        <v>6</v>
      </c>
    </row>
    <row r="105" spans="1:10" x14ac:dyDescent="0.2">
      <c r="A105" s="121">
        <v>3</v>
      </c>
      <c r="B105" s="121">
        <v>2017</v>
      </c>
      <c r="C105" s="121" t="s">
        <v>50</v>
      </c>
      <c r="D105" s="121" t="s">
        <v>404</v>
      </c>
      <c r="E105" s="121">
        <v>49.290799999999997</v>
      </c>
      <c r="F105" s="121">
        <v>-122.9503</v>
      </c>
      <c r="G105" s="121" t="s">
        <v>403</v>
      </c>
      <c r="H105" s="121" t="s">
        <v>400</v>
      </c>
      <c r="I105" s="121" t="s">
        <v>406</v>
      </c>
      <c r="J105" s="121">
        <v>0</v>
      </c>
    </row>
    <row r="106" spans="1:10" x14ac:dyDescent="0.2">
      <c r="A106" s="121">
        <v>3</v>
      </c>
      <c r="B106" s="121">
        <v>2017</v>
      </c>
      <c r="C106" s="121" t="s">
        <v>50</v>
      </c>
      <c r="D106" s="121" t="s">
        <v>404</v>
      </c>
      <c r="E106" s="121">
        <v>49.290799999999997</v>
      </c>
      <c r="F106" s="121">
        <v>-122.9503</v>
      </c>
      <c r="G106" s="121" t="s">
        <v>403</v>
      </c>
      <c r="H106" s="121" t="s">
        <v>400</v>
      </c>
      <c r="I106" s="121" t="s">
        <v>407</v>
      </c>
      <c r="J106" s="121">
        <v>3</v>
      </c>
    </row>
    <row r="107" spans="1:10" x14ac:dyDescent="0.2">
      <c r="A107" s="121">
        <v>4</v>
      </c>
      <c r="B107" s="121">
        <v>2017</v>
      </c>
      <c r="C107" s="121" t="s">
        <v>50</v>
      </c>
      <c r="D107" s="121" t="s">
        <v>51</v>
      </c>
      <c r="E107" s="121">
        <v>49.076599999999999</v>
      </c>
      <c r="F107" s="121">
        <v>-122.20269999999999</v>
      </c>
      <c r="G107" s="121" t="s">
        <v>402</v>
      </c>
      <c r="H107" s="121" t="s">
        <v>400</v>
      </c>
      <c r="I107" s="121" t="s">
        <v>406</v>
      </c>
      <c r="J107" s="121">
        <v>26</v>
      </c>
    </row>
    <row r="108" spans="1:10" x14ac:dyDescent="0.2">
      <c r="A108" s="121">
        <v>4</v>
      </c>
      <c r="B108" s="121">
        <v>2017</v>
      </c>
      <c r="C108" s="121" t="s">
        <v>50</v>
      </c>
      <c r="D108" s="121" t="s">
        <v>51</v>
      </c>
      <c r="E108" s="121">
        <v>49.076599999999999</v>
      </c>
      <c r="F108" s="121">
        <v>-122.20269999999999</v>
      </c>
      <c r="G108" s="121" t="s">
        <v>402</v>
      </c>
      <c r="H108" s="121" t="s">
        <v>400</v>
      </c>
      <c r="I108" s="121" t="s">
        <v>407</v>
      </c>
      <c r="J108" s="121">
        <v>0</v>
      </c>
    </row>
    <row r="109" spans="1:10" x14ac:dyDescent="0.2">
      <c r="A109" s="121">
        <v>4</v>
      </c>
      <c r="B109" s="121">
        <v>2017</v>
      </c>
      <c r="C109" s="121" t="s">
        <v>50</v>
      </c>
      <c r="D109" s="121" t="s">
        <v>46</v>
      </c>
      <c r="E109" s="121">
        <v>49.268500000000003</v>
      </c>
      <c r="F109" s="121">
        <v>-122.93129999999999</v>
      </c>
      <c r="G109" s="121" t="s">
        <v>403</v>
      </c>
      <c r="H109" s="121" t="s">
        <v>416</v>
      </c>
      <c r="I109" s="121" t="s">
        <v>406</v>
      </c>
      <c r="J109" s="121">
        <v>10</v>
      </c>
    </row>
    <row r="110" spans="1:10" x14ac:dyDescent="0.2">
      <c r="A110" s="121">
        <v>4</v>
      </c>
      <c r="B110" s="121">
        <v>2017</v>
      </c>
      <c r="C110" s="121" t="s">
        <v>50</v>
      </c>
      <c r="D110" s="121" t="s">
        <v>46</v>
      </c>
      <c r="E110" s="121">
        <v>49.268500000000003</v>
      </c>
      <c r="F110" s="121">
        <v>-122.93129999999999</v>
      </c>
      <c r="G110" s="121" t="s">
        <v>403</v>
      </c>
      <c r="H110" s="121" t="s">
        <v>416</v>
      </c>
      <c r="I110" s="121" t="s">
        <v>407</v>
      </c>
      <c r="J110" s="121">
        <v>0</v>
      </c>
    </row>
    <row r="111" spans="1:10" x14ac:dyDescent="0.2">
      <c r="A111" s="121">
        <v>4</v>
      </c>
      <c r="B111" s="121">
        <v>2017</v>
      </c>
      <c r="C111" s="121" t="s">
        <v>50</v>
      </c>
      <c r="D111" s="121" t="s">
        <v>46</v>
      </c>
      <c r="E111" s="121">
        <v>49.268500000000003</v>
      </c>
      <c r="F111" s="121">
        <v>-122.93129999999999</v>
      </c>
      <c r="G111" s="121" t="s">
        <v>403</v>
      </c>
      <c r="H111" s="121" t="s">
        <v>416</v>
      </c>
      <c r="I111" s="121" t="s">
        <v>408</v>
      </c>
      <c r="J111" s="121">
        <v>7</v>
      </c>
    </row>
    <row r="112" spans="1:10" x14ac:dyDescent="0.2">
      <c r="A112" s="121">
        <v>4</v>
      </c>
      <c r="B112" s="121">
        <v>2017</v>
      </c>
      <c r="C112" s="121" t="s">
        <v>50</v>
      </c>
      <c r="D112" s="121" t="s">
        <v>404</v>
      </c>
      <c r="E112" s="121">
        <v>49.290799999999997</v>
      </c>
      <c r="F112" s="121">
        <v>-122.9503</v>
      </c>
      <c r="G112" s="121" t="s">
        <v>403</v>
      </c>
      <c r="H112" s="121" t="s">
        <v>400</v>
      </c>
      <c r="I112" s="121" t="s">
        <v>406</v>
      </c>
      <c r="J112" s="121">
        <v>0</v>
      </c>
    </row>
    <row r="113" spans="1:10" x14ac:dyDescent="0.2">
      <c r="A113" s="121">
        <v>4</v>
      </c>
      <c r="B113" s="121">
        <v>2017</v>
      </c>
      <c r="C113" s="121" t="s">
        <v>50</v>
      </c>
      <c r="D113" s="121" t="s">
        <v>404</v>
      </c>
      <c r="E113" s="121">
        <v>49.290799999999997</v>
      </c>
      <c r="F113" s="121">
        <v>-122.9503</v>
      </c>
      <c r="G113" s="121" t="s">
        <v>403</v>
      </c>
      <c r="H113" s="121" t="s">
        <v>400</v>
      </c>
      <c r="I113" s="121" t="s">
        <v>407</v>
      </c>
      <c r="J113" s="121">
        <v>4</v>
      </c>
    </row>
    <row r="114" spans="1:10" x14ac:dyDescent="0.2">
      <c r="A114" s="121">
        <v>5</v>
      </c>
      <c r="B114" s="121">
        <v>2017</v>
      </c>
      <c r="C114" s="121" t="s">
        <v>50</v>
      </c>
      <c r="D114" s="121" t="s">
        <v>51</v>
      </c>
      <c r="E114" s="121">
        <v>49.076599999999999</v>
      </c>
      <c r="F114" s="121">
        <v>-122.20269999999999</v>
      </c>
      <c r="G114" s="121" t="s">
        <v>402</v>
      </c>
      <c r="H114" s="121" t="s">
        <v>400</v>
      </c>
      <c r="I114" s="121" t="s">
        <v>406</v>
      </c>
      <c r="J114" s="121">
        <v>29</v>
      </c>
    </row>
    <row r="115" spans="1:10" x14ac:dyDescent="0.2">
      <c r="A115" s="121">
        <v>5</v>
      </c>
      <c r="B115" s="121">
        <v>2017</v>
      </c>
      <c r="C115" s="121" t="s">
        <v>50</v>
      </c>
      <c r="D115" s="121" t="s">
        <v>51</v>
      </c>
      <c r="E115" s="121">
        <v>49.076599999999999</v>
      </c>
      <c r="F115" s="121">
        <v>-122.20269999999999</v>
      </c>
      <c r="G115" s="121" t="s">
        <v>402</v>
      </c>
      <c r="H115" s="121" t="s">
        <v>400</v>
      </c>
      <c r="I115" s="121" t="s">
        <v>407</v>
      </c>
      <c r="J115" s="121">
        <v>0</v>
      </c>
    </row>
    <row r="116" spans="1:10" x14ac:dyDescent="0.2">
      <c r="A116" s="121">
        <v>5</v>
      </c>
      <c r="B116" s="121">
        <v>2017</v>
      </c>
      <c r="C116" s="121" t="s">
        <v>50</v>
      </c>
      <c r="D116" s="121" t="s">
        <v>46</v>
      </c>
      <c r="E116" s="121">
        <v>49.268500000000003</v>
      </c>
      <c r="F116" s="121">
        <v>-122.93129999999999</v>
      </c>
      <c r="G116" s="121" t="s">
        <v>403</v>
      </c>
      <c r="H116" s="121" t="s">
        <v>416</v>
      </c>
      <c r="I116" s="121" t="s">
        <v>406</v>
      </c>
      <c r="J116" s="121">
        <v>11</v>
      </c>
    </row>
    <row r="117" spans="1:10" x14ac:dyDescent="0.2">
      <c r="A117" s="121">
        <v>5</v>
      </c>
      <c r="B117" s="121">
        <v>2017</v>
      </c>
      <c r="C117" s="121" t="s">
        <v>50</v>
      </c>
      <c r="D117" s="121" t="s">
        <v>46</v>
      </c>
      <c r="E117" s="121">
        <v>49.268500000000003</v>
      </c>
      <c r="F117" s="121">
        <v>-122.93129999999999</v>
      </c>
      <c r="G117" s="121" t="s">
        <v>403</v>
      </c>
      <c r="H117" s="121" t="s">
        <v>416</v>
      </c>
      <c r="I117" s="121" t="s">
        <v>407</v>
      </c>
      <c r="J117" s="121">
        <v>0</v>
      </c>
    </row>
    <row r="118" spans="1:10" x14ac:dyDescent="0.2">
      <c r="A118" s="121">
        <v>5</v>
      </c>
      <c r="B118" s="121">
        <v>2017</v>
      </c>
      <c r="C118" s="121" t="s">
        <v>50</v>
      </c>
      <c r="D118" s="121" t="s">
        <v>46</v>
      </c>
      <c r="E118" s="121">
        <v>49.268500000000003</v>
      </c>
      <c r="F118" s="121">
        <v>-122.93129999999999</v>
      </c>
      <c r="G118" s="121" t="s">
        <v>403</v>
      </c>
      <c r="H118" s="121" t="s">
        <v>416</v>
      </c>
      <c r="I118" s="121" t="s">
        <v>408</v>
      </c>
      <c r="J118" s="121">
        <v>6</v>
      </c>
    </row>
    <row r="119" spans="1:10" x14ac:dyDescent="0.2">
      <c r="A119" s="121">
        <v>5</v>
      </c>
      <c r="B119" s="121">
        <v>2017</v>
      </c>
      <c r="C119" s="121" t="s">
        <v>50</v>
      </c>
      <c r="D119" s="121" t="s">
        <v>404</v>
      </c>
      <c r="E119" s="121">
        <v>49.290799999999997</v>
      </c>
      <c r="F119" s="121">
        <v>-122.9503</v>
      </c>
      <c r="G119" s="121" t="s">
        <v>403</v>
      </c>
      <c r="H119" s="121" t="s">
        <v>400</v>
      </c>
      <c r="I119" s="121" t="s">
        <v>406</v>
      </c>
      <c r="J119" s="121">
        <v>0</v>
      </c>
    </row>
    <row r="120" spans="1:10" x14ac:dyDescent="0.2">
      <c r="A120" s="121">
        <v>5</v>
      </c>
      <c r="B120" s="121">
        <v>2017</v>
      </c>
      <c r="C120" s="121" t="s">
        <v>50</v>
      </c>
      <c r="D120" s="121" t="s">
        <v>404</v>
      </c>
      <c r="E120" s="121">
        <v>49.290799999999997</v>
      </c>
      <c r="F120" s="121">
        <v>-122.9503</v>
      </c>
      <c r="G120" s="121" t="s">
        <v>403</v>
      </c>
      <c r="H120" s="121" t="s">
        <v>400</v>
      </c>
      <c r="I120" s="121" t="s">
        <v>407</v>
      </c>
      <c r="J120" s="121">
        <v>5</v>
      </c>
    </row>
    <row r="121" spans="1:10" x14ac:dyDescent="0.2">
      <c r="A121" s="121">
        <v>6</v>
      </c>
      <c r="B121" s="121">
        <v>2017</v>
      </c>
      <c r="C121" s="121" t="s">
        <v>50</v>
      </c>
      <c r="D121" s="121" t="s">
        <v>51</v>
      </c>
      <c r="E121" s="121">
        <v>49.076599999999999</v>
      </c>
      <c r="F121" s="121">
        <v>-122.20269999999999</v>
      </c>
      <c r="G121" s="121" t="s">
        <v>402</v>
      </c>
      <c r="H121" s="121" t="s">
        <v>400</v>
      </c>
      <c r="I121" s="121" t="s">
        <v>406</v>
      </c>
      <c r="J121" s="121">
        <v>26</v>
      </c>
    </row>
    <row r="122" spans="1:10" x14ac:dyDescent="0.2">
      <c r="A122" s="121">
        <v>6</v>
      </c>
      <c r="B122" s="121">
        <v>2017</v>
      </c>
      <c r="C122" s="121" t="s">
        <v>50</v>
      </c>
      <c r="D122" s="121" t="s">
        <v>51</v>
      </c>
      <c r="E122" s="121">
        <v>49.076599999999999</v>
      </c>
      <c r="F122" s="121">
        <v>-122.20269999999999</v>
      </c>
      <c r="G122" s="121" t="s">
        <v>402</v>
      </c>
      <c r="H122" s="121" t="s">
        <v>400</v>
      </c>
      <c r="I122" s="121" t="s">
        <v>407</v>
      </c>
      <c r="J122" s="121">
        <v>0</v>
      </c>
    </row>
    <row r="123" spans="1:10" x14ac:dyDescent="0.2">
      <c r="A123" s="121">
        <v>6</v>
      </c>
      <c r="B123" s="121">
        <v>2017</v>
      </c>
      <c r="C123" s="121" t="s">
        <v>50</v>
      </c>
      <c r="D123" s="121" t="s">
        <v>46</v>
      </c>
      <c r="E123" s="121">
        <v>49.268500000000003</v>
      </c>
      <c r="F123" s="121">
        <v>-122.93129999999999</v>
      </c>
      <c r="G123" s="121" t="s">
        <v>403</v>
      </c>
      <c r="H123" s="121" t="s">
        <v>416</v>
      </c>
      <c r="I123" s="121" t="s">
        <v>406</v>
      </c>
      <c r="J123" s="121">
        <v>11</v>
      </c>
    </row>
    <row r="124" spans="1:10" x14ac:dyDescent="0.2">
      <c r="A124" s="121">
        <v>6</v>
      </c>
      <c r="B124" s="121">
        <v>2017</v>
      </c>
      <c r="C124" s="121" t="s">
        <v>50</v>
      </c>
      <c r="D124" s="121" t="s">
        <v>46</v>
      </c>
      <c r="E124" s="121">
        <v>49.268500000000003</v>
      </c>
      <c r="F124" s="121">
        <v>-122.93129999999999</v>
      </c>
      <c r="G124" s="121" t="s">
        <v>403</v>
      </c>
      <c r="H124" s="121" t="s">
        <v>416</v>
      </c>
      <c r="I124" s="121" t="s">
        <v>407</v>
      </c>
      <c r="J124" s="121">
        <v>0</v>
      </c>
    </row>
    <row r="125" spans="1:10" x14ac:dyDescent="0.2">
      <c r="A125" s="121">
        <v>6</v>
      </c>
      <c r="B125" s="121">
        <v>2017</v>
      </c>
      <c r="C125" s="121" t="s">
        <v>50</v>
      </c>
      <c r="D125" s="121" t="s">
        <v>46</v>
      </c>
      <c r="E125" s="121">
        <v>49.268500000000003</v>
      </c>
      <c r="F125" s="121">
        <v>-122.93129999999999</v>
      </c>
      <c r="G125" s="121" t="s">
        <v>403</v>
      </c>
      <c r="H125" s="121" t="s">
        <v>416</v>
      </c>
      <c r="I125" s="121" t="s">
        <v>408</v>
      </c>
      <c r="J125" s="121">
        <v>6</v>
      </c>
    </row>
    <row r="126" spans="1:10" x14ac:dyDescent="0.2">
      <c r="A126" s="121">
        <v>6</v>
      </c>
      <c r="B126" s="121">
        <v>2017</v>
      </c>
      <c r="C126" s="121" t="s">
        <v>50</v>
      </c>
      <c r="D126" s="121" t="s">
        <v>404</v>
      </c>
      <c r="E126" s="121">
        <v>49.290799999999997</v>
      </c>
      <c r="F126" s="121">
        <v>-122.9503</v>
      </c>
      <c r="G126" s="121" t="s">
        <v>403</v>
      </c>
      <c r="H126" s="121" t="s">
        <v>400</v>
      </c>
      <c r="I126" s="121" t="s">
        <v>406</v>
      </c>
      <c r="J126" s="121">
        <v>1</v>
      </c>
    </row>
    <row r="127" spans="1:10" x14ac:dyDescent="0.2">
      <c r="A127" s="121">
        <v>6</v>
      </c>
      <c r="B127" s="121">
        <v>2017</v>
      </c>
      <c r="C127" s="121" t="s">
        <v>50</v>
      </c>
      <c r="D127" s="121" t="s">
        <v>404</v>
      </c>
      <c r="E127" s="121">
        <v>49.290799999999997</v>
      </c>
      <c r="F127" s="121">
        <v>-122.9503</v>
      </c>
      <c r="G127" s="121" t="s">
        <v>403</v>
      </c>
      <c r="H127" s="121" t="s">
        <v>400</v>
      </c>
      <c r="I127" s="121" t="s">
        <v>407</v>
      </c>
      <c r="J127" s="121">
        <v>3</v>
      </c>
    </row>
    <row r="128" spans="1:10" x14ac:dyDescent="0.2">
      <c r="A128" s="121">
        <v>7</v>
      </c>
      <c r="B128" s="121">
        <v>2017</v>
      </c>
      <c r="C128" s="121" t="s">
        <v>50</v>
      </c>
      <c r="D128" s="121" t="s">
        <v>51</v>
      </c>
      <c r="E128" s="121">
        <v>49.076599999999999</v>
      </c>
      <c r="F128" s="121">
        <v>-122.20269999999999</v>
      </c>
      <c r="G128" s="121" t="s">
        <v>402</v>
      </c>
      <c r="H128" s="121" t="s">
        <v>400</v>
      </c>
      <c r="I128" s="121" t="s">
        <v>406</v>
      </c>
      <c r="J128" s="121">
        <v>25</v>
      </c>
    </row>
    <row r="129" spans="1:10" x14ac:dyDescent="0.2">
      <c r="A129" s="121">
        <v>7</v>
      </c>
      <c r="B129" s="121">
        <v>2017</v>
      </c>
      <c r="C129" s="121" t="s">
        <v>50</v>
      </c>
      <c r="D129" s="121" t="s">
        <v>51</v>
      </c>
      <c r="E129" s="121">
        <v>49.076599999999999</v>
      </c>
      <c r="F129" s="121">
        <v>-122.20269999999999</v>
      </c>
      <c r="G129" s="121" t="s">
        <v>402</v>
      </c>
      <c r="H129" s="121" t="s">
        <v>400</v>
      </c>
      <c r="I129" s="121" t="s">
        <v>407</v>
      </c>
      <c r="J129" s="121">
        <v>1</v>
      </c>
    </row>
    <row r="130" spans="1:10" x14ac:dyDescent="0.2">
      <c r="A130" s="121">
        <v>7</v>
      </c>
      <c r="B130" s="121">
        <v>2017</v>
      </c>
      <c r="C130" s="121" t="s">
        <v>50</v>
      </c>
      <c r="D130" s="121" t="s">
        <v>46</v>
      </c>
      <c r="E130" s="121">
        <v>49.268500000000003</v>
      </c>
      <c r="F130" s="121">
        <v>-122.93129999999999</v>
      </c>
      <c r="G130" s="121" t="s">
        <v>403</v>
      </c>
      <c r="H130" s="121" t="s">
        <v>416</v>
      </c>
      <c r="I130" s="121" t="s">
        <v>406</v>
      </c>
      <c r="J130" s="121">
        <v>12</v>
      </c>
    </row>
    <row r="131" spans="1:10" x14ac:dyDescent="0.2">
      <c r="A131" s="121">
        <v>7</v>
      </c>
      <c r="B131" s="121">
        <v>2017</v>
      </c>
      <c r="C131" s="121" t="s">
        <v>50</v>
      </c>
      <c r="D131" s="121" t="s">
        <v>46</v>
      </c>
      <c r="E131" s="121">
        <v>49.268500000000003</v>
      </c>
      <c r="F131" s="121">
        <v>-122.93129999999999</v>
      </c>
      <c r="G131" s="121" t="s">
        <v>403</v>
      </c>
      <c r="H131" s="121" t="s">
        <v>416</v>
      </c>
      <c r="I131" s="121" t="s">
        <v>407</v>
      </c>
      <c r="J131" s="121">
        <v>0</v>
      </c>
    </row>
    <row r="132" spans="1:10" x14ac:dyDescent="0.2">
      <c r="A132" s="121">
        <v>7</v>
      </c>
      <c r="B132" s="121">
        <v>2017</v>
      </c>
      <c r="C132" s="121" t="s">
        <v>50</v>
      </c>
      <c r="D132" s="121" t="s">
        <v>46</v>
      </c>
      <c r="E132" s="121">
        <v>49.268500000000003</v>
      </c>
      <c r="F132" s="121">
        <v>-122.93129999999999</v>
      </c>
      <c r="G132" s="121" t="s">
        <v>403</v>
      </c>
      <c r="H132" s="121" t="s">
        <v>416</v>
      </c>
      <c r="I132" s="121" t="s">
        <v>408</v>
      </c>
      <c r="J132" s="121">
        <v>7</v>
      </c>
    </row>
    <row r="133" spans="1:10" x14ac:dyDescent="0.2">
      <c r="A133" s="121">
        <v>7</v>
      </c>
      <c r="B133" s="121">
        <v>2017</v>
      </c>
      <c r="C133" s="121" t="s">
        <v>50</v>
      </c>
      <c r="D133" s="121" t="s">
        <v>404</v>
      </c>
      <c r="E133" s="121">
        <v>49.290799999999997</v>
      </c>
      <c r="F133" s="121">
        <v>-122.9503</v>
      </c>
      <c r="G133" s="121" t="s">
        <v>403</v>
      </c>
      <c r="H133" s="121" t="s">
        <v>400</v>
      </c>
      <c r="I133" s="121" t="s">
        <v>406</v>
      </c>
      <c r="J133" s="121">
        <v>0</v>
      </c>
    </row>
    <row r="134" spans="1:10" x14ac:dyDescent="0.2">
      <c r="A134" s="121">
        <v>7</v>
      </c>
      <c r="B134" s="121">
        <v>2017</v>
      </c>
      <c r="C134" s="121" t="s">
        <v>50</v>
      </c>
      <c r="D134" s="121" t="s">
        <v>404</v>
      </c>
      <c r="E134" s="121">
        <v>49.290799999999997</v>
      </c>
      <c r="F134" s="121">
        <v>-122.9503</v>
      </c>
      <c r="G134" s="121" t="s">
        <v>403</v>
      </c>
      <c r="H134" s="121" t="s">
        <v>400</v>
      </c>
      <c r="I134" s="121" t="s">
        <v>407</v>
      </c>
      <c r="J134" s="121">
        <v>4</v>
      </c>
    </row>
    <row r="135" spans="1:10" x14ac:dyDescent="0.2">
      <c r="A135" s="121">
        <v>8</v>
      </c>
      <c r="B135" s="121">
        <v>2017</v>
      </c>
      <c r="C135" s="121" t="s">
        <v>50</v>
      </c>
      <c r="D135" s="121" t="s">
        <v>51</v>
      </c>
      <c r="E135" s="121">
        <v>49.076599999999999</v>
      </c>
      <c r="F135" s="121">
        <v>-122.20269999999999</v>
      </c>
      <c r="G135" s="121" t="s">
        <v>402</v>
      </c>
      <c r="H135" s="121" t="s">
        <v>400</v>
      </c>
      <c r="I135" s="121" t="s">
        <v>406</v>
      </c>
      <c r="J135" s="121">
        <v>30</v>
      </c>
    </row>
    <row r="136" spans="1:10" x14ac:dyDescent="0.2">
      <c r="A136" s="121">
        <v>8</v>
      </c>
      <c r="B136" s="121">
        <v>2017</v>
      </c>
      <c r="C136" s="121" t="s">
        <v>50</v>
      </c>
      <c r="D136" s="121" t="s">
        <v>51</v>
      </c>
      <c r="E136" s="121">
        <v>49.076599999999999</v>
      </c>
      <c r="F136" s="121">
        <v>-122.20269999999999</v>
      </c>
      <c r="G136" s="121" t="s">
        <v>402</v>
      </c>
      <c r="H136" s="121" t="s">
        <v>400</v>
      </c>
      <c r="I136" s="121" t="s">
        <v>407</v>
      </c>
      <c r="J136" s="121">
        <v>0</v>
      </c>
    </row>
    <row r="137" spans="1:10" x14ac:dyDescent="0.2">
      <c r="A137" s="121">
        <v>8</v>
      </c>
      <c r="B137" s="121">
        <v>2017</v>
      </c>
      <c r="C137" s="121" t="s">
        <v>50</v>
      </c>
      <c r="D137" s="121" t="s">
        <v>46</v>
      </c>
      <c r="E137" s="121">
        <v>49.268500000000003</v>
      </c>
      <c r="F137" s="121">
        <v>-122.93129999999999</v>
      </c>
      <c r="G137" s="121" t="s">
        <v>403</v>
      </c>
      <c r="H137" s="121" t="s">
        <v>416</v>
      </c>
      <c r="I137" s="121" t="s">
        <v>406</v>
      </c>
      <c r="J137" s="121">
        <v>12</v>
      </c>
    </row>
    <row r="138" spans="1:10" x14ac:dyDescent="0.2">
      <c r="A138" s="121">
        <v>8</v>
      </c>
      <c r="B138" s="121">
        <v>2017</v>
      </c>
      <c r="C138" s="121" t="s">
        <v>50</v>
      </c>
      <c r="D138" s="121" t="s">
        <v>46</v>
      </c>
      <c r="E138" s="121">
        <v>49.268500000000003</v>
      </c>
      <c r="F138" s="121">
        <v>-122.93129999999999</v>
      </c>
      <c r="G138" s="121" t="s">
        <v>403</v>
      </c>
      <c r="H138" s="121" t="s">
        <v>416</v>
      </c>
      <c r="I138" s="121" t="s">
        <v>407</v>
      </c>
      <c r="J138" s="121">
        <v>0</v>
      </c>
    </row>
    <row r="139" spans="1:10" x14ac:dyDescent="0.2">
      <c r="A139" s="121">
        <v>8</v>
      </c>
      <c r="B139" s="121">
        <v>2017</v>
      </c>
      <c r="C139" s="121" t="s">
        <v>50</v>
      </c>
      <c r="D139" s="121" t="s">
        <v>46</v>
      </c>
      <c r="E139" s="121">
        <v>49.268500000000003</v>
      </c>
      <c r="F139" s="121">
        <v>-122.93129999999999</v>
      </c>
      <c r="G139" s="121" t="s">
        <v>403</v>
      </c>
      <c r="H139" s="121" t="s">
        <v>416</v>
      </c>
      <c r="I139" s="121" t="s">
        <v>408</v>
      </c>
      <c r="J139" s="121">
        <v>7</v>
      </c>
    </row>
    <row r="140" spans="1:10" x14ac:dyDescent="0.2">
      <c r="A140" s="121">
        <v>8</v>
      </c>
      <c r="B140" s="121">
        <v>2017</v>
      </c>
      <c r="C140" s="121" t="s">
        <v>50</v>
      </c>
      <c r="D140" s="121" t="s">
        <v>404</v>
      </c>
      <c r="E140" s="121">
        <v>49.290799999999997</v>
      </c>
      <c r="F140" s="121">
        <v>-122.9503</v>
      </c>
      <c r="G140" s="121" t="s">
        <v>403</v>
      </c>
      <c r="H140" s="121" t="s">
        <v>400</v>
      </c>
      <c r="I140" s="121" t="s">
        <v>406</v>
      </c>
      <c r="J140" s="121">
        <v>0</v>
      </c>
    </row>
    <row r="141" spans="1:10" x14ac:dyDescent="0.2">
      <c r="A141" s="121">
        <v>8</v>
      </c>
      <c r="B141" s="121">
        <v>2017</v>
      </c>
      <c r="C141" s="121" t="s">
        <v>50</v>
      </c>
      <c r="D141" s="121" t="s">
        <v>404</v>
      </c>
      <c r="E141" s="121">
        <v>49.290799999999997</v>
      </c>
      <c r="F141" s="121">
        <v>-122.9503</v>
      </c>
      <c r="G141" s="121" t="s">
        <v>403</v>
      </c>
      <c r="H141" s="121" t="s">
        <v>400</v>
      </c>
      <c r="I141" s="121" t="s">
        <v>407</v>
      </c>
      <c r="J141" s="121">
        <v>2</v>
      </c>
    </row>
    <row r="142" spans="1:10" x14ac:dyDescent="0.2">
      <c r="A142" s="121">
        <v>9</v>
      </c>
      <c r="B142" s="121">
        <v>2017</v>
      </c>
      <c r="C142" s="121" t="s">
        <v>50</v>
      </c>
      <c r="D142" s="121" t="s">
        <v>51</v>
      </c>
      <c r="E142" s="121">
        <v>49.076599999999999</v>
      </c>
      <c r="F142" s="121">
        <v>-122.20269999999999</v>
      </c>
      <c r="G142" s="121" t="s">
        <v>402</v>
      </c>
      <c r="H142" s="121" t="s">
        <v>400</v>
      </c>
      <c r="I142" s="121" t="s">
        <v>406</v>
      </c>
      <c r="J142" s="121">
        <v>27</v>
      </c>
    </row>
    <row r="143" spans="1:10" x14ac:dyDescent="0.2">
      <c r="A143" s="121">
        <v>9</v>
      </c>
      <c r="B143" s="121">
        <v>2017</v>
      </c>
      <c r="C143" s="121" t="s">
        <v>50</v>
      </c>
      <c r="D143" s="121" t="s">
        <v>51</v>
      </c>
      <c r="E143" s="121">
        <v>49.076599999999999</v>
      </c>
      <c r="F143" s="121">
        <v>-122.20269999999999</v>
      </c>
      <c r="G143" s="121" t="s">
        <v>402</v>
      </c>
      <c r="H143" s="121" t="s">
        <v>400</v>
      </c>
      <c r="I143" s="121" t="s">
        <v>407</v>
      </c>
      <c r="J143" s="121">
        <v>0</v>
      </c>
    </row>
    <row r="144" spans="1:10" x14ac:dyDescent="0.2">
      <c r="A144" s="121">
        <v>9</v>
      </c>
      <c r="B144" s="121">
        <v>2017</v>
      </c>
      <c r="C144" s="121" t="s">
        <v>50</v>
      </c>
      <c r="D144" s="121" t="s">
        <v>46</v>
      </c>
      <c r="E144" s="121">
        <v>49.268500000000003</v>
      </c>
      <c r="F144" s="121">
        <v>-122.93129999999999</v>
      </c>
      <c r="G144" s="121" t="s">
        <v>403</v>
      </c>
      <c r="H144" s="121" t="s">
        <v>416</v>
      </c>
      <c r="I144" s="121" t="s">
        <v>406</v>
      </c>
      <c r="J144" s="121">
        <v>11</v>
      </c>
    </row>
    <row r="145" spans="1:10" x14ac:dyDescent="0.2">
      <c r="A145" s="121">
        <v>9</v>
      </c>
      <c r="B145" s="121">
        <v>2017</v>
      </c>
      <c r="C145" s="121" t="s">
        <v>50</v>
      </c>
      <c r="D145" s="121" t="s">
        <v>46</v>
      </c>
      <c r="E145" s="121">
        <v>49.268500000000003</v>
      </c>
      <c r="F145" s="121">
        <v>-122.93129999999999</v>
      </c>
      <c r="G145" s="121" t="s">
        <v>403</v>
      </c>
      <c r="H145" s="121" t="s">
        <v>416</v>
      </c>
      <c r="I145" s="121" t="s">
        <v>407</v>
      </c>
      <c r="J145" s="121">
        <v>0</v>
      </c>
    </row>
    <row r="146" spans="1:10" x14ac:dyDescent="0.2">
      <c r="A146" s="121">
        <v>9</v>
      </c>
      <c r="B146" s="121">
        <v>2017</v>
      </c>
      <c r="C146" s="121" t="s">
        <v>50</v>
      </c>
      <c r="D146" s="121" t="s">
        <v>46</v>
      </c>
      <c r="E146" s="121">
        <v>49.268500000000003</v>
      </c>
      <c r="F146" s="121">
        <v>-122.93129999999999</v>
      </c>
      <c r="G146" s="121" t="s">
        <v>403</v>
      </c>
      <c r="H146" s="121" t="s">
        <v>416</v>
      </c>
      <c r="I146" s="121" t="s">
        <v>408</v>
      </c>
      <c r="J146" s="121">
        <v>7</v>
      </c>
    </row>
    <row r="147" spans="1:10" x14ac:dyDescent="0.2">
      <c r="A147" s="121">
        <v>9</v>
      </c>
      <c r="B147" s="121">
        <v>2017</v>
      </c>
      <c r="C147" s="121" t="s">
        <v>50</v>
      </c>
      <c r="D147" s="121" t="s">
        <v>404</v>
      </c>
      <c r="E147" s="121">
        <v>49.290799999999997</v>
      </c>
      <c r="F147" s="121">
        <v>-122.9503</v>
      </c>
      <c r="G147" s="121" t="s">
        <v>403</v>
      </c>
      <c r="H147" s="121" t="s">
        <v>400</v>
      </c>
      <c r="I147" s="121" t="s">
        <v>406</v>
      </c>
      <c r="J147" s="121">
        <v>2</v>
      </c>
    </row>
    <row r="148" spans="1:10" x14ac:dyDescent="0.2">
      <c r="A148" s="121">
        <v>9</v>
      </c>
      <c r="B148" s="121">
        <v>2017</v>
      </c>
      <c r="C148" s="121" t="s">
        <v>50</v>
      </c>
      <c r="D148" s="121" t="s">
        <v>404</v>
      </c>
      <c r="E148" s="121">
        <v>49.290799999999997</v>
      </c>
      <c r="F148" s="121">
        <v>-122.9503</v>
      </c>
      <c r="G148" s="121" t="s">
        <v>403</v>
      </c>
      <c r="H148" s="121" t="s">
        <v>400</v>
      </c>
      <c r="I148" s="121" t="s">
        <v>407</v>
      </c>
      <c r="J148" s="121">
        <v>3</v>
      </c>
    </row>
    <row r="149" spans="1:10" x14ac:dyDescent="0.2">
      <c r="A149" s="121">
        <v>10</v>
      </c>
      <c r="B149" s="121">
        <v>2017</v>
      </c>
      <c r="C149" s="121" t="s">
        <v>50</v>
      </c>
      <c r="D149" s="121" t="s">
        <v>51</v>
      </c>
      <c r="E149" s="121">
        <v>49.076599999999999</v>
      </c>
      <c r="F149" s="121">
        <v>-122.20269999999999</v>
      </c>
      <c r="G149" s="121" t="s">
        <v>402</v>
      </c>
      <c r="H149" s="121" t="s">
        <v>400</v>
      </c>
      <c r="I149" s="121" t="s">
        <v>406</v>
      </c>
      <c r="J149" s="121">
        <v>28</v>
      </c>
    </row>
    <row r="150" spans="1:10" x14ac:dyDescent="0.2">
      <c r="A150" s="121">
        <v>10</v>
      </c>
      <c r="B150" s="121">
        <v>2017</v>
      </c>
      <c r="C150" s="121" t="s">
        <v>50</v>
      </c>
      <c r="D150" s="121" t="s">
        <v>51</v>
      </c>
      <c r="E150" s="121">
        <v>49.076599999999999</v>
      </c>
      <c r="F150" s="121">
        <v>-122.20269999999999</v>
      </c>
      <c r="G150" s="121" t="s">
        <v>402</v>
      </c>
      <c r="H150" s="121" t="s">
        <v>400</v>
      </c>
      <c r="I150" s="121" t="s">
        <v>407</v>
      </c>
      <c r="J150" s="121">
        <v>0</v>
      </c>
    </row>
    <row r="151" spans="1:10" x14ac:dyDescent="0.2">
      <c r="A151" s="121">
        <v>10</v>
      </c>
      <c r="B151" s="121">
        <v>2017</v>
      </c>
      <c r="C151" s="121" t="s">
        <v>50</v>
      </c>
      <c r="D151" s="121" t="s">
        <v>46</v>
      </c>
      <c r="E151" s="121">
        <v>49.268500000000003</v>
      </c>
      <c r="F151" s="121">
        <v>-122.93129999999999</v>
      </c>
      <c r="G151" s="121" t="s">
        <v>403</v>
      </c>
      <c r="H151" s="121" t="s">
        <v>416</v>
      </c>
      <c r="I151" s="121" t="s">
        <v>406</v>
      </c>
      <c r="J151" s="121">
        <v>11</v>
      </c>
    </row>
    <row r="152" spans="1:10" x14ac:dyDescent="0.2">
      <c r="A152" s="121">
        <v>10</v>
      </c>
      <c r="B152" s="121">
        <v>2017</v>
      </c>
      <c r="C152" s="121" t="s">
        <v>50</v>
      </c>
      <c r="D152" s="121" t="s">
        <v>46</v>
      </c>
      <c r="E152" s="121">
        <v>49.268500000000003</v>
      </c>
      <c r="F152" s="121">
        <v>-122.93129999999999</v>
      </c>
      <c r="G152" s="121" t="s">
        <v>403</v>
      </c>
      <c r="H152" s="121" t="s">
        <v>416</v>
      </c>
      <c r="I152" s="121" t="s">
        <v>407</v>
      </c>
      <c r="J152" s="121">
        <v>0</v>
      </c>
    </row>
    <row r="153" spans="1:10" x14ac:dyDescent="0.2">
      <c r="A153" s="121">
        <v>10</v>
      </c>
      <c r="B153" s="121">
        <v>2017</v>
      </c>
      <c r="C153" s="121" t="s">
        <v>50</v>
      </c>
      <c r="D153" s="121" t="s">
        <v>46</v>
      </c>
      <c r="E153" s="121">
        <v>49.268500000000003</v>
      </c>
      <c r="F153" s="121">
        <v>-122.93129999999999</v>
      </c>
      <c r="G153" s="121" t="s">
        <v>403</v>
      </c>
      <c r="H153" s="121" t="s">
        <v>416</v>
      </c>
      <c r="I153" s="121" t="s">
        <v>408</v>
      </c>
      <c r="J153" s="121">
        <v>7</v>
      </c>
    </row>
    <row r="154" spans="1:10" x14ac:dyDescent="0.2">
      <c r="A154" s="121">
        <v>10</v>
      </c>
      <c r="B154" s="121">
        <v>2017</v>
      </c>
      <c r="C154" s="121" t="s">
        <v>50</v>
      </c>
      <c r="D154" s="121" t="s">
        <v>404</v>
      </c>
      <c r="E154" s="121">
        <v>49.290799999999997</v>
      </c>
      <c r="F154" s="121">
        <v>-122.9503</v>
      </c>
      <c r="G154" s="121" t="s">
        <v>403</v>
      </c>
      <c r="H154" s="121" t="s">
        <v>400</v>
      </c>
      <c r="I154" s="121" t="s">
        <v>406</v>
      </c>
      <c r="J154" s="121">
        <v>1</v>
      </c>
    </row>
    <row r="155" spans="1:10" x14ac:dyDescent="0.2">
      <c r="A155" s="121">
        <v>10</v>
      </c>
      <c r="B155" s="121">
        <v>2017</v>
      </c>
      <c r="C155" s="121" t="s">
        <v>50</v>
      </c>
      <c r="D155" s="121" t="s">
        <v>404</v>
      </c>
      <c r="E155" s="121">
        <v>49.290799999999997</v>
      </c>
      <c r="F155" s="121">
        <v>-122.9503</v>
      </c>
      <c r="G155" s="121" t="s">
        <v>403</v>
      </c>
      <c r="H155" s="121" t="s">
        <v>400</v>
      </c>
      <c r="I155" s="121" t="s">
        <v>407</v>
      </c>
      <c r="J155" s="121">
        <v>1</v>
      </c>
    </row>
    <row r="156" spans="1:10" x14ac:dyDescent="0.2">
      <c r="A156" s="121">
        <v>11</v>
      </c>
      <c r="B156" s="121">
        <v>2017</v>
      </c>
      <c r="C156" s="121" t="s">
        <v>50</v>
      </c>
      <c r="D156" s="121" t="s">
        <v>51</v>
      </c>
      <c r="E156" s="121">
        <v>49.076599999999999</v>
      </c>
      <c r="F156" s="121">
        <v>-122.20269999999999</v>
      </c>
      <c r="G156" s="121" t="s">
        <v>402</v>
      </c>
      <c r="H156" s="121" t="s">
        <v>400</v>
      </c>
      <c r="I156" s="121" t="s">
        <v>406</v>
      </c>
      <c r="J156" s="121">
        <v>27</v>
      </c>
    </row>
    <row r="157" spans="1:10" x14ac:dyDescent="0.2">
      <c r="A157" s="121">
        <v>11</v>
      </c>
      <c r="B157" s="121">
        <v>2017</v>
      </c>
      <c r="C157" s="121" t="s">
        <v>50</v>
      </c>
      <c r="D157" s="121" t="s">
        <v>51</v>
      </c>
      <c r="E157" s="121">
        <v>49.076599999999999</v>
      </c>
      <c r="F157" s="121">
        <v>-122.20269999999999</v>
      </c>
      <c r="G157" s="121" t="s">
        <v>402</v>
      </c>
      <c r="H157" s="121" t="s">
        <v>400</v>
      </c>
      <c r="I157" s="121" t="s">
        <v>407</v>
      </c>
      <c r="J157" s="121">
        <v>0</v>
      </c>
    </row>
    <row r="158" spans="1:10" x14ac:dyDescent="0.2">
      <c r="A158" s="121">
        <v>11</v>
      </c>
      <c r="B158" s="121">
        <v>2017</v>
      </c>
      <c r="C158" s="121" t="s">
        <v>50</v>
      </c>
      <c r="D158" s="121" t="s">
        <v>46</v>
      </c>
      <c r="E158" s="121">
        <v>49.268500000000003</v>
      </c>
      <c r="F158" s="121">
        <v>-122.93129999999999</v>
      </c>
      <c r="G158" s="121" t="s">
        <v>403</v>
      </c>
      <c r="H158" s="121" t="s">
        <v>416</v>
      </c>
      <c r="I158" s="121" t="s">
        <v>406</v>
      </c>
      <c r="J158" s="121">
        <v>11</v>
      </c>
    </row>
    <row r="159" spans="1:10" x14ac:dyDescent="0.2">
      <c r="A159" s="121">
        <v>11</v>
      </c>
      <c r="B159" s="121">
        <v>2017</v>
      </c>
      <c r="C159" s="121" t="s">
        <v>50</v>
      </c>
      <c r="D159" s="121" t="s">
        <v>46</v>
      </c>
      <c r="E159" s="121">
        <v>49.268500000000003</v>
      </c>
      <c r="F159" s="121">
        <v>-122.93129999999999</v>
      </c>
      <c r="G159" s="121" t="s">
        <v>403</v>
      </c>
      <c r="H159" s="121" t="s">
        <v>416</v>
      </c>
      <c r="I159" s="121" t="s">
        <v>407</v>
      </c>
      <c r="J159" s="121">
        <v>0</v>
      </c>
    </row>
    <row r="160" spans="1:10" x14ac:dyDescent="0.2">
      <c r="A160" s="121">
        <v>11</v>
      </c>
      <c r="B160" s="121">
        <v>2017</v>
      </c>
      <c r="C160" s="121" t="s">
        <v>50</v>
      </c>
      <c r="D160" s="121" t="s">
        <v>46</v>
      </c>
      <c r="E160" s="121">
        <v>49.268500000000003</v>
      </c>
      <c r="F160" s="121">
        <v>-122.93129999999999</v>
      </c>
      <c r="G160" s="121" t="s">
        <v>403</v>
      </c>
      <c r="H160" s="121" t="s">
        <v>416</v>
      </c>
      <c r="I160" s="121" t="s">
        <v>408</v>
      </c>
      <c r="J160" s="121">
        <v>6</v>
      </c>
    </row>
    <row r="161" spans="1:10" x14ac:dyDescent="0.2">
      <c r="A161" s="121">
        <v>11</v>
      </c>
      <c r="B161" s="121">
        <v>2017</v>
      </c>
      <c r="C161" s="121" t="s">
        <v>50</v>
      </c>
      <c r="D161" s="121" t="s">
        <v>404</v>
      </c>
      <c r="E161" s="121">
        <v>49.290799999999997</v>
      </c>
      <c r="F161" s="121">
        <v>-122.9503</v>
      </c>
      <c r="G161" s="121" t="s">
        <v>403</v>
      </c>
      <c r="H161" s="121" t="s">
        <v>400</v>
      </c>
      <c r="I161" s="121" t="s">
        <v>406</v>
      </c>
      <c r="J161" s="121">
        <v>0</v>
      </c>
    </row>
    <row r="162" spans="1:10" x14ac:dyDescent="0.2">
      <c r="A162" s="121">
        <v>11</v>
      </c>
      <c r="B162" s="121">
        <v>2017</v>
      </c>
      <c r="C162" s="121" t="s">
        <v>50</v>
      </c>
      <c r="D162" s="121" t="s">
        <v>404</v>
      </c>
      <c r="E162" s="121">
        <v>49.290799999999997</v>
      </c>
      <c r="F162" s="121">
        <v>-122.9503</v>
      </c>
      <c r="G162" s="121" t="s">
        <v>403</v>
      </c>
      <c r="H162" s="121" t="s">
        <v>400</v>
      </c>
      <c r="I162" s="121" t="s">
        <v>407</v>
      </c>
      <c r="J162" s="121">
        <v>4</v>
      </c>
    </row>
    <row r="163" spans="1:10" x14ac:dyDescent="0.2">
      <c r="A163" s="121">
        <v>12</v>
      </c>
      <c r="B163" s="121">
        <v>2017</v>
      </c>
      <c r="C163" s="121" t="s">
        <v>50</v>
      </c>
      <c r="D163" s="121" t="s">
        <v>51</v>
      </c>
      <c r="E163" s="121">
        <v>49.076599999999999</v>
      </c>
      <c r="F163" s="121">
        <v>-122.20269999999999</v>
      </c>
      <c r="G163" s="121" t="s">
        <v>402</v>
      </c>
      <c r="H163" s="121" t="s">
        <v>400</v>
      </c>
      <c r="I163" s="121" t="s">
        <v>406</v>
      </c>
      <c r="J163" s="121">
        <v>24</v>
      </c>
    </row>
    <row r="164" spans="1:10" x14ac:dyDescent="0.2">
      <c r="A164" s="121">
        <v>12</v>
      </c>
      <c r="B164" s="121">
        <v>2017</v>
      </c>
      <c r="C164" s="121" t="s">
        <v>50</v>
      </c>
      <c r="D164" s="121" t="s">
        <v>51</v>
      </c>
      <c r="E164" s="121">
        <v>49.076599999999999</v>
      </c>
      <c r="F164" s="121">
        <v>-122.20269999999999</v>
      </c>
      <c r="G164" s="121" t="s">
        <v>402</v>
      </c>
      <c r="H164" s="121" t="s">
        <v>400</v>
      </c>
      <c r="I164" s="121" t="s">
        <v>407</v>
      </c>
      <c r="J164" s="121">
        <v>0</v>
      </c>
    </row>
    <row r="165" spans="1:10" x14ac:dyDescent="0.2">
      <c r="A165" s="121">
        <v>12</v>
      </c>
      <c r="B165" s="121">
        <v>2017</v>
      </c>
      <c r="C165" s="121" t="s">
        <v>50</v>
      </c>
      <c r="D165" s="121" t="s">
        <v>46</v>
      </c>
      <c r="E165" s="121">
        <v>49.268500000000003</v>
      </c>
      <c r="F165" s="121">
        <v>-122.93129999999999</v>
      </c>
      <c r="G165" s="121" t="s">
        <v>403</v>
      </c>
      <c r="H165" s="121" t="s">
        <v>416</v>
      </c>
      <c r="I165" s="121" t="s">
        <v>406</v>
      </c>
      <c r="J165" s="121">
        <v>9</v>
      </c>
    </row>
    <row r="166" spans="1:10" x14ac:dyDescent="0.2">
      <c r="A166" s="121">
        <v>12</v>
      </c>
      <c r="B166" s="121">
        <v>2017</v>
      </c>
      <c r="C166" s="121" t="s">
        <v>50</v>
      </c>
      <c r="D166" s="121" t="s">
        <v>46</v>
      </c>
      <c r="E166" s="121">
        <v>49.268500000000003</v>
      </c>
      <c r="F166" s="121">
        <v>-122.93129999999999</v>
      </c>
      <c r="G166" s="121" t="s">
        <v>403</v>
      </c>
      <c r="H166" s="121" t="s">
        <v>416</v>
      </c>
      <c r="I166" s="121" t="s">
        <v>407</v>
      </c>
      <c r="J166" s="121">
        <v>0</v>
      </c>
    </row>
    <row r="167" spans="1:10" x14ac:dyDescent="0.2">
      <c r="A167" s="121">
        <v>12</v>
      </c>
      <c r="B167" s="121">
        <v>2017</v>
      </c>
      <c r="C167" s="121" t="s">
        <v>50</v>
      </c>
      <c r="D167" s="121" t="s">
        <v>46</v>
      </c>
      <c r="E167" s="121">
        <v>49.268500000000003</v>
      </c>
      <c r="F167" s="121">
        <v>-122.93129999999999</v>
      </c>
      <c r="G167" s="121" t="s">
        <v>403</v>
      </c>
      <c r="H167" s="121" t="s">
        <v>416</v>
      </c>
      <c r="I167" s="121" t="s">
        <v>408</v>
      </c>
      <c r="J167" s="121">
        <v>7</v>
      </c>
    </row>
    <row r="168" spans="1:10" x14ac:dyDescent="0.2">
      <c r="A168" s="121">
        <v>12</v>
      </c>
      <c r="B168" s="121">
        <v>2017</v>
      </c>
      <c r="C168" s="121" t="s">
        <v>50</v>
      </c>
      <c r="D168" s="121" t="s">
        <v>404</v>
      </c>
      <c r="E168" s="121">
        <v>49.290799999999997</v>
      </c>
      <c r="F168" s="121">
        <v>-122.9503</v>
      </c>
      <c r="G168" s="121" t="s">
        <v>403</v>
      </c>
      <c r="H168" s="121" t="s">
        <v>400</v>
      </c>
      <c r="I168" s="121" t="s">
        <v>406</v>
      </c>
      <c r="J168" s="121">
        <v>0</v>
      </c>
    </row>
    <row r="169" spans="1:10" x14ac:dyDescent="0.2">
      <c r="A169" s="121">
        <v>12</v>
      </c>
      <c r="B169" s="121">
        <v>2017</v>
      </c>
      <c r="C169" s="121" t="s">
        <v>50</v>
      </c>
      <c r="D169" s="121" t="s">
        <v>404</v>
      </c>
      <c r="E169" s="121">
        <v>49.290799999999997</v>
      </c>
      <c r="F169" s="121">
        <v>-122.9503</v>
      </c>
      <c r="G169" s="121" t="s">
        <v>403</v>
      </c>
      <c r="H169" s="121" t="s">
        <v>400</v>
      </c>
      <c r="I169" s="121" t="s">
        <v>407</v>
      </c>
      <c r="J169" s="121">
        <v>8</v>
      </c>
    </row>
    <row r="170" spans="1:10" x14ac:dyDescent="0.2">
      <c r="A170" s="121">
        <v>1</v>
      </c>
      <c r="B170" s="121">
        <v>2018</v>
      </c>
      <c r="C170" s="121" t="s">
        <v>50</v>
      </c>
      <c r="D170" s="121" t="s">
        <v>51</v>
      </c>
      <c r="E170" s="121">
        <v>49.076599999999999</v>
      </c>
      <c r="F170" s="121">
        <v>-122.20269999999999</v>
      </c>
      <c r="G170" s="121" t="s">
        <v>402</v>
      </c>
      <c r="H170" s="121" t="s">
        <v>400</v>
      </c>
      <c r="I170" s="121" t="s">
        <v>406</v>
      </c>
      <c r="J170" s="121">
        <v>21</v>
      </c>
    </row>
    <row r="171" spans="1:10" x14ac:dyDescent="0.2">
      <c r="A171" s="121">
        <v>1</v>
      </c>
      <c r="B171" s="121">
        <v>2018</v>
      </c>
      <c r="C171" s="121" t="s">
        <v>50</v>
      </c>
      <c r="D171" s="121" t="s">
        <v>51</v>
      </c>
      <c r="E171" s="121">
        <v>49.076599999999999</v>
      </c>
      <c r="F171" s="121">
        <v>-122.20269999999999</v>
      </c>
      <c r="G171" s="121" t="s">
        <v>402</v>
      </c>
      <c r="H171" s="121" t="s">
        <v>400</v>
      </c>
      <c r="I171" s="121" t="s">
        <v>407</v>
      </c>
      <c r="J171" s="121">
        <v>3</v>
      </c>
    </row>
    <row r="172" spans="1:10" x14ac:dyDescent="0.2">
      <c r="A172" s="121">
        <v>1</v>
      </c>
      <c r="B172" s="121">
        <v>2018</v>
      </c>
      <c r="C172" s="121" t="s">
        <v>50</v>
      </c>
      <c r="D172" s="121" t="s">
        <v>46</v>
      </c>
      <c r="E172" s="121">
        <v>49.268500000000003</v>
      </c>
      <c r="F172" s="121">
        <v>-122.93129999999999</v>
      </c>
      <c r="G172" s="121" t="s">
        <v>403</v>
      </c>
      <c r="H172" s="121" t="s">
        <v>416</v>
      </c>
      <c r="I172" s="121" t="s">
        <v>406</v>
      </c>
      <c r="J172" s="121">
        <v>10</v>
      </c>
    </row>
    <row r="173" spans="1:10" x14ac:dyDescent="0.2">
      <c r="A173" s="121">
        <v>1</v>
      </c>
      <c r="B173" s="121">
        <v>2018</v>
      </c>
      <c r="C173" s="121" t="s">
        <v>50</v>
      </c>
      <c r="D173" s="121" t="s">
        <v>46</v>
      </c>
      <c r="E173" s="121">
        <v>49.268500000000003</v>
      </c>
      <c r="F173" s="121">
        <v>-122.93129999999999</v>
      </c>
      <c r="G173" s="121" t="s">
        <v>403</v>
      </c>
      <c r="H173" s="121" t="s">
        <v>416</v>
      </c>
      <c r="I173" s="121" t="s">
        <v>407</v>
      </c>
      <c r="J173" s="121">
        <v>0</v>
      </c>
    </row>
    <row r="174" spans="1:10" x14ac:dyDescent="0.2">
      <c r="A174" s="121">
        <v>1</v>
      </c>
      <c r="B174" s="121">
        <v>2018</v>
      </c>
      <c r="C174" s="121" t="s">
        <v>50</v>
      </c>
      <c r="D174" s="121" t="s">
        <v>46</v>
      </c>
      <c r="E174" s="121">
        <v>49.268500000000003</v>
      </c>
      <c r="F174" s="121">
        <v>-122.93129999999999</v>
      </c>
      <c r="G174" s="121" t="s">
        <v>403</v>
      </c>
      <c r="H174" s="121" t="s">
        <v>416</v>
      </c>
      <c r="I174" s="121" t="s">
        <v>408</v>
      </c>
      <c r="J174" s="121">
        <v>7</v>
      </c>
    </row>
    <row r="175" spans="1:10" x14ac:dyDescent="0.2">
      <c r="A175" s="121">
        <v>1</v>
      </c>
      <c r="B175" s="121">
        <v>2018</v>
      </c>
      <c r="C175" s="121" t="s">
        <v>50</v>
      </c>
      <c r="D175" s="121" t="s">
        <v>404</v>
      </c>
      <c r="E175" s="121">
        <v>49.290799999999997</v>
      </c>
      <c r="F175" s="121">
        <v>-122.9503</v>
      </c>
      <c r="G175" s="121" t="s">
        <v>403</v>
      </c>
      <c r="H175" s="121" t="s">
        <v>400</v>
      </c>
      <c r="I175" s="121" t="s">
        <v>406</v>
      </c>
      <c r="J175" s="121">
        <v>0</v>
      </c>
    </row>
    <row r="176" spans="1:10" x14ac:dyDescent="0.2">
      <c r="A176" s="121">
        <v>1</v>
      </c>
      <c r="B176" s="121">
        <v>2018</v>
      </c>
      <c r="C176" s="121" t="s">
        <v>50</v>
      </c>
      <c r="D176" s="121" t="s">
        <v>404</v>
      </c>
      <c r="E176" s="121">
        <v>49.290799999999997</v>
      </c>
      <c r="F176" s="121">
        <v>-122.9503</v>
      </c>
      <c r="G176" s="121" t="s">
        <v>403</v>
      </c>
      <c r="H176" s="121" t="s">
        <v>400</v>
      </c>
      <c r="I176" s="121" t="s">
        <v>407</v>
      </c>
      <c r="J176" s="121">
        <v>7</v>
      </c>
    </row>
    <row r="177" spans="1:10" x14ac:dyDescent="0.2">
      <c r="A177" s="121">
        <v>2</v>
      </c>
      <c r="B177" s="121">
        <v>2018</v>
      </c>
      <c r="C177" s="121" t="s">
        <v>50</v>
      </c>
      <c r="D177" s="121" t="s">
        <v>51</v>
      </c>
      <c r="E177" s="121">
        <v>49.076599999999999</v>
      </c>
      <c r="F177" s="121">
        <v>-122.20269999999999</v>
      </c>
      <c r="G177" s="121" t="s">
        <v>402</v>
      </c>
      <c r="H177" s="121" t="s">
        <v>400</v>
      </c>
      <c r="I177" s="121" t="s">
        <v>406</v>
      </c>
      <c r="J177" s="121">
        <v>24</v>
      </c>
    </row>
    <row r="178" spans="1:10" x14ac:dyDescent="0.2">
      <c r="A178" s="121">
        <v>2</v>
      </c>
      <c r="B178" s="121">
        <v>2018</v>
      </c>
      <c r="C178" s="121" t="s">
        <v>50</v>
      </c>
      <c r="D178" s="121" t="s">
        <v>51</v>
      </c>
      <c r="E178" s="121">
        <v>49.076599999999999</v>
      </c>
      <c r="F178" s="121">
        <v>-122.20269999999999</v>
      </c>
      <c r="G178" s="121" t="s">
        <v>402</v>
      </c>
      <c r="H178" s="121" t="s">
        <v>400</v>
      </c>
      <c r="I178" s="121" t="s">
        <v>407</v>
      </c>
      <c r="J178" s="121">
        <v>2</v>
      </c>
    </row>
    <row r="179" spans="1:10" x14ac:dyDescent="0.2">
      <c r="A179" s="121">
        <v>2</v>
      </c>
      <c r="B179" s="121">
        <v>2018</v>
      </c>
      <c r="C179" s="121" t="s">
        <v>50</v>
      </c>
      <c r="D179" s="121" t="s">
        <v>46</v>
      </c>
      <c r="E179" s="121">
        <v>49.268500000000003</v>
      </c>
      <c r="F179" s="121">
        <v>-122.93129999999999</v>
      </c>
      <c r="G179" s="121" t="s">
        <v>403</v>
      </c>
      <c r="H179" s="121" t="s">
        <v>416</v>
      </c>
      <c r="I179" s="121" t="s">
        <v>406</v>
      </c>
      <c r="J179" s="121">
        <v>1</v>
      </c>
    </row>
    <row r="180" spans="1:10" x14ac:dyDescent="0.2">
      <c r="A180" s="121">
        <v>2</v>
      </c>
      <c r="B180" s="121">
        <v>2018</v>
      </c>
      <c r="C180" s="121" t="s">
        <v>50</v>
      </c>
      <c r="D180" s="121" t="s">
        <v>46</v>
      </c>
      <c r="E180" s="121">
        <v>49.268500000000003</v>
      </c>
      <c r="F180" s="121">
        <v>-122.93129999999999</v>
      </c>
      <c r="G180" s="121" t="s">
        <v>403</v>
      </c>
      <c r="H180" s="121" t="s">
        <v>416</v>
      </c>
      <c r="I180" s="121" t="s">
        <v>407</v>
      </c>
      <c r="J180" s="121">
        <v>0</v>
      </c>
    </row>
    <row r="181" spans="1:10" x14ac:dyDescent="0.2">
      <c r="A181" s="121">
        <v>2</v>
      </c>
      <c r="B181" s="121">
        <v>2018</v>
      </c>
      <c r="C181" s="121" t="s">
        <v>50</v>
      </c>
      <c r="D181" s="121" t="s">
        <v>46</v>
      </c>
      <c r="E181" s="121">
        <v>49.268500000000003</v>
      </c>
      <c r="F181" s="121">
        <v>-122.93129999999999</v>
      </c>
      <c r="G181" s="121" t="s">
        <v>403</v>
      </c>
      <c r="H181" s="121" t="s">
        <v>416</v>
      </c>
      <c r="I181" s="121" t="s">
        <v>408</v>
      </c>
      <c r="J181" s="121">
        <v>6</v>
      </c>
    </row>
    <row r="182" spans="1:10" x14ac:dyDescent="0.2">
      <c r="A182" s="121">
        <v>2</v>
      </c>
      <c r="B182" s="121">
        <v>2018</v>
      </c>
      <c r="C182" s="121" t="s">
        <v>50</v>
      </c>
      <c r="D182" s="121" t="s">
        <v>404</v>
      </c>
      <c r="E182" s="121">
        <v>49.290799999999997</v>
      </c>
      <c r="F182" s="121">
        <v>-122.9503</v>
      </c>
      <c r="G182" s="121" t="s">
        <v>403</v>
      </c>
      <c r="H182" s="121" t="s">
        <v>400</v>
      </c>
      <c r="I182" s="121" t="s">
        <v>406</v>
      </c>
      <c r="J182" s="121">
        <v>0</v>
      </c>
    </row>
    <row r="183" spans="1:10" x14ac:dyDescent="0.2">
      <c r="A183" s="121">
        <v>2</v>
      </c>
      <c r="B183" s="121">
        <v>2018</v>
      </c>
      <c r="C183" s="121" t="s">
        <v>50</v>
      </c>
      <c r="D183" s="121" t="s">
        <v>404</v>
      </c>
      <c r="E183" s="121">
        <v>49.290799999999997</v>
      </c>
      <c r="F183" s="121">
        <v>-122.9503</v>
      </c>
      <c r="G183" s="121" t="s">
        <v>403</v>
      </c>
      <c r="H183" s="121" t="s">
        <v>400</v>
      </c>
      <c r="I183" s="121" t="s">
        <v>407</v>
      </c>
      <c r="J183" s="121">
        <v>12</v>
      </c>
    </row>
    <row r="184" spans="1:10" x14ac:dyDescent="0.2">
      <c r="A184" s="121">
        <v>3</v>
      </c>
      <c r="B184" s="121">
        <v>2018</v>
      </c>
      <c r="C184" s="121" t="s">
        <v>50</v>
      </c>
      <c r="D184" s="121" t="s">
        <v>51</v>
      </c>
      <c r="E184" s="121">
        <v>49.076599999999999</v>
      </c>
      <c r="F184" s="121">
        <v>-122.20269999999999</v>
      </c>
      <c r="G184" s="121" t="s">
        <v>402</v>
      </c>
      <c r="H184" s="121" t="s">
        <v>400</v>
      </c>
      <c r="I184" s="121" t="s">
        <v>406</v>
      </c>
      <c r="J184" s="121">
        <v>29</v>
      </c>
    </row>
    <row r="185" spans="1:10" x14ac:dyDescent="0.2">
      <c r="A185" s="121">
        <v>3</v>
      </c>
      <c r="B185" s="121">
        <v>2018</v>
      </c>
      <c r="C185" s="121" t="s">
        <v>50</v>
      </c>
      <c r="D185" s="121" t="s">
        <v>51</v>
      </c>
      <c r="E185" s="121">
        <v>49.076599999999999</v>
      </c>
      <c r="F185" s="121">
        <v>-122.20269999999999</v>
      </c>
      <c r="G185" s="121" t="s">
        <v>402</v>
      </c>
      <c r="H185" s="121" t="s">
        <v>400</v>
      </c>
      <c r="I185" s="121" t="s">
        <v>407</v>
      </c>
      <c r="J185" s="121">
        <v>0</v>
      </c>
    </row>
    <row r="186" spans="1:10" x14ac:dyDescent="0.2">
      <c r="A186" s="121">
        <v>3</v>
      </c>
      <c r="B186" s="121">
        <v>2018</v>
      </c>
      <c r="C186" s="121" t="s">
        <v>50</v>
      </c>
      <c r="D186" s="121" t="s">
        <v>46</v>
      </c>
      <c r="E186" s="121">
        <v>49.268500000000003</v>
      </c>
      <c r="F186" s="121">
        <v>-122.93129999999999</v>
      </c>
      <c r="G186" s="121" t="s">
        <v>403</v>
      </c>
      <c r="H186" s="121" t="s">
        <v>416</v>
      </c>
      <c r="I186" s="121" t="s">
        <v>406</v>
      </c>
      <c r="J186" s="121">
        <v>2</v>
      </c>
    </row>
    <row r="187" spans="1:10" x14ac:dyDescent="0.2">
      <c r="A187" s="121">
        <v>3</v>
      </c>
      <c r="B187" s="121">
        <v>2018</v>
      </c>
      <c r="C187" s="121" t="s">
        <v>50</v>
      </c>
      <c r="D187" s="121" t="s">
        <v>46</v>
      </c>
      <c r="E187" s="121">
        <v>49.268500000000003</v>
      </c>
      <c r="F187" s="121">
        <v>-122.93129999999999</v>
      </c>
      <c r="G187" s="121" t="s">
        <v>403</v>
      </c>
      <c r="H187" s="121" t="s">
        <v>416</v>
      </c>
      <c r="I187" s="121" t="s">
        <v>407</v>
      </c>
      <c r="J187" s="121">
        <v>0</v>
      </c>
    </row>
    <row r="188" spans="1:10" x14ac:dyDescent="0.2">
      <c r="A188" s="121">
        <v>3</v>
      </c>
      <c r="B188" s="121">
        <v>2018</v>
      </c>
      <c r="C188" s="121" t="s">
        <v>50</v>
      </c>
      <c r="D188" s="121" t="s">
        <v>46</v>
      </c>
      <c r="E188" s="121">
        <v>49.268500000000003</v>
      </c>
      <c r="F188" s="121">
        <v>-122.93129999999999</v>
      </c>
      <c r="G188" s="121" t="s">
        <v>403</v>
      </c>
      <c r="H188" s="121" t="s">
        <v>416</v>
      </c>
      <c r="I188" s="121" t="s">
        <v>408</v>
      </c>
      <c r="J188" s="121">
        <v>6</v>
      </c>
    </row>
    <row r="189" spans="1:10" x14ac:dyDescent="0.2">
      <c r="A189" s="121">
        <v>3</v>
      </c>
      <c r="B189" s="121">
        <v>2018</v>
      </c>
      <c r="C189" s="121" t="s">
        <v>50</v>
      </c>
      <c r="D189" s="121" t="s">
        <v>404</v>
      </c>
      <c r="E189" s="121">
        <v>49.290799999999997</v>
      </c>
      <c r="F189" s="121">
        <v>-122.9503</v>
      </c>
      <c r="G189" s="121" t="s">
        <v>403</v>
      </c>
      <c r="H189" s="121" t="s">
        <v>400</v>
      </c>
      <c r="I189" s="121" t="s">
        <v>406</v>
      </c>
      <c r="J189" s="121">
        <v>0</v>
      </c>
    </row>
    <row r="190" spans="1:10" x14ac:dyDescent="0.2">
      <c r="A190" s="121">
        <v>3</v>
      </c>
      <c r="B190" s="121">
        <v>2018</v>
      </c>
      <c r="C190" s="121" t="s">
        <v>50</v>
      </c>
      <c r="D190" s="121" t="s">
        <v>404</v>
      </c>
      <c r="E190" s="121">
        <v>49.290799999999997</v>
      </c>
      <c r="F190" s="121">
        <v>-122.9503</v>
      </c>
      <c r="G190" s="121" t="s">
        <v>403</v>
      </c>
      <c r="H190" s="121" t="s">
        <v>400</v>
      </c>
      <c r="I190" s="121" t="s">
        <v>407</v>
      </c>
      <c r="J190" s="121">
        <v>10</v>
      </c>
    </row>
    <row r="191" spans="1:10" x14ac:dyDescent="0.2">
      <c r="A191" s="121">
        <v>4</v>
      </c>
      <c r="B191" s="121">
        <v>2018</v>
      </c>
      <c r="C191" s="121" t="s">
        <v>50</v>
      </c>
      <c r="D191" s="121" t="s">
        <v>51</v>
      </c>
      <c r="E191" s="121">
        <v>49.076599999999999</v>
      </c>
      <c r="F191" s="121">
        <v>-122.20269999999999</v>
      </c>
      <c r="G191" s="121" t="s">
        <v>402</v>
      </c>
      <c r="H191" s="121" t="s">
        <v>400</v>
      </c>
      <c r="I191" s="121" t="s">
        <v>406</v>
      </c>
      <c r="J191" s="121">
        <v>24</v>
      </c>
    </row>
    <row r="192" spans="1:10" x14ac:dyDescent="0.2">
      <c r="A192" s="121">
        <v>4</v>
      </c>
      <c r="B192" s="121">
        <v>2018</v>
      </c>
      <c r="C192" s="121" t="s">
        <v>50</v>
      </c>
      <c r="D192" s="121" t="s">
        <v>51</v>
      </c>
      <c r="E192" s="121">
        <v>49.076599999999999</v>
      </c>
      <c r="F192" s="121">
        <v>-122.20269999999999</v>
      </c>
      <c r="G192" s="121" t="s">
        <v>402</v>
      </c>
      <c r="H192" s="121" t="s">
        <v>400</v>
      </c>
      <c r="I192" s="121" t="s">
        <v>407</v>
      </c>
      <c r="J192" s="121">
        <v>0</v>
      </c>
    </row>
    <row r="193" spans="1:10" x14ac:dyDescent="0.2">
      <c r="A193" s="121">
        <v>4</v>
      </c>
      <c r="B193" s="121">
        <v>2018</v>
      </c>
      <c r="C193" s="121" t="s">
        <v>50</v>
      </c>
      <c r="D193" s="121" t="s">
        <v>46</v>
      </c>
      <c r="E193" s="121">
        <v>49.268500000000003</v>
      </c>
      <c r="F193" s="121">
        <v>-122.93129999999999</v>
      </c>
      <c r="G193" s="121" t="s">
        <v>403</v>
      </c>
      <c r="H193" s="121" t="s">
        <v>416</v>
      </c>
      <c r="I193" s="121" t="s">
        <v>406</v>
      </c>
      <c r="J193" s="121">
        <v>7</v>
      </c>
    </row>
    <row r="194" spans="1:10" x14ac:dyDescent="0.2">
      <c r="A194" s="121">
        <v>4</v>
      </c>
      <c r="B194" s="121">
        <v>2018</v>
      </c>
      <c r="C194" s="121" t="s">
        <v>50</v>
      </c>
      <c r="D194" s="121" t="s">
        <v>46</v>
      </c>
      <c r="E194" s="121">
        <v>49.268500000000003</v>
      </c>
      <c r="F194" s="121">
        <v>-122.93129999999999</v>
      </c>
      <c r="G194" s="121" t="s">
        <v>403</v>
      </c>
      <c r="H194" s="121" t="s">
        <v>416</v>
      </c>
      <c r="I194" s="121" t="s">
        <v>407</v>
      </c>
      <c r="J194" s="121">
        <v>0</v>
      </c>
    </row>
    <row r="195" spans="1:10" x14ac:dyDescent="0.2">
      <c r="A195" s="121">
        <v>4</v>
      </c>
      <c r="B195" s="121">
        <v>2018</v>
      </c>
      <c r="C195" s="121" t="s">
        <v>50</v>
      </c>
      <c r="D195" s="121" t="s">
        <v>46</v>
      </c>
      <c r="E195" s="121">
        <v>49.268500000000003</v>
      </c>
      <c r="F195" s="121">
        <v>-122.93129999999999</v>
      </c>
      <c r="G195" s="121" t="s">
        <v>403</v>
      </c>
      <c r="H195" s="121" t="s">
        <v>416</v>
      </c>
      <c r="I195" s="121" t="s">
        <v>408</v>
      </c>
      <c r="J195" s="121">
        <v>2</v>
      </c>
    </row>
    <row r="196" spans="1:10" x14ac:dyDescent="0.2">
      <c r="A196" s="121">
        <v>4</v>
      </c>
      <c r="B196" s="121">
        <v>2018</v>
      </c>
      <c r="C196" s="121" t="s">
        <v>50</v>
      </c>
      <c r="D196" s="121" t="s">
        <v>404</v>
      </c>
      <c r="E196" s="121">
        <v>49.290799999999997</v>
      </c>
      <c r="F196" s="121">
        <v>-122.9503</v>
      </c>
      <c r="G196" s="121" t="s">
        <v>403</v>
      </c>
      <c r="H196" s="121" t="s">
        <v>400</v>
      </c>
      <c r="I196" s="121" t="s">
        <v>406</v>
      </c>
      <c r="J196" s="121">
        <v>0</v>
      </c>
    </row>
    <row r="197" spans="1:10" x14ac:dyDescent="0.2">
      <c r="A197" s="121">
        <v>4</v>
      </c>
      <c r="B197" s="121">
        <v>2018</v>
      </c>
      <c r="C197" s="121" t="s">
        <v>50</v>
      </c>
      <c r="D197" s="121" t="s">
        <v>404</v>
      </c>
      <c r="E197" s="121">
        <v>49.290799999999997</v>
      </c>
      <c r="F197" s="121">
        <v>-122.9503</v>
      </c>
      <c r="G197" s="121" t="s">
        <v>403</v>
      </c>
      <c r="H197" s="121" t="s">
        <v>400</v>
      </c>
      <c r="I197" s="121" t="s">
        <v>407</v>
      </c>
      <c r="J197" s="121">
        <v>14</v>
      </c>
    </row>
    <row r="198" spans="1:10" x14ac:dyDescent="0.2">
      <c r="A198" s="121">
        <v>5</v>
      </c>
      <c r="B198" s="121">
        <v>2018</v>
      </c>
      <c r="C198" s="121" t="s">
        <v>50</v>
      </c>
      <c r="D198" s="121" t="s">
        <v>51</v>
      </c>
      <c r="E198" s="121">
        <v>49.076599999999999</v>
      </c>
      <c r="F198" s="121">
        <v>-122.20269999999999</v>
      </c>
      <c r="G198" s="121" t="s">
        <v>402</v>
      </c>
      <c r="H198" s="121" t="s">
        <v>400</v>
      </c>
      <c r="I198" s="121" t="s">
        <v>406</v>
      </c>
      <c r="J198" s="121">
        <v>25</v>
      </c>
    </row>
    <row r="199" spans="1:10" x14ac:dyDescent="0.2">
      <c r="A199" s="121">
        <v>5</v>
      </c>
      <c r="B199" s="121">
        <v>2018</v>
      </c>
      <c r="C199" s="121" t="s">
        <v>50</v>
      </c>
      <c r="D199" s="121" t="s">
        <v>51</v>
      </c>
      <c r="E199" s="121">
        <v>49.076599999999999</v>
      </c>
      <c r="F199" s="121">
        <v>-122.20269999999999</v>
      </c>
      <c r="G199" s="121" t="s">
        <v>402</v>
      </c>
      <c r="H199" s="121" t="s">
        <v>400</v>
      </c>
      <c r="I199" s="121" t="s">
        <v>407</v>
      </c>
      <c r="J199" s="121">
        <v>0</v>
      </c>
    </row>
    <row r="200" spans="1:10" x14ac:dyDescent="0.2">
      <c r="A200" s="121">
        <v>5</v>
      </c>
      <c r="B200" s="121">
        <v>2018</v>
      </c>
      <c r="C200" s="121" t="s">
        <v>50</v>
      </c>
      <c r="D200" s="121" t="s">
        <v>46</v>
      </c>
      <c r="E200" s="121">
        <v>49.268500000000003</v>
      </c>
      <c r="F200" s="121">
        <v>-122.93129999999999</v>
      </c>
      <c r="G200" s="121" t="s">
        <v>403</v>
      </c>
      <c r="H200" s="121" t="s">
        <v>416</v>
      </c>
      <c r="I200" s="121" t="s">
        <v>406</v>
      </c>
      <c r="J200" s="121">
        <v>8</v>
      </c>
    </row>
    <row r="201" spans="1:10" x14ac:dyDescent="0.2">
      <c r="A201" s="121">
        <v>5</v>
      </c>
      <c r="B201" s="121">
        <v>2018</v>
      </c>
      <c r="C201" s="121" t="s">
        <v>50</v>
      </c>
      <c r="D201" s="121" t="s">
        <v>46</v>
      </c>
      <c r="E201" s="121">
        <v>49.268500000000003</v>
      </c>
      <c r="F201" s="121">
        <v>-122.93129999999999</v>
      </c>
      <c r="G201" s="121" t="s">
        <v>403</v>
      </c>
      <c r="H201" s="121" t="s">
        <v>416</v>
      </c>
      <c r="I201" s="121" t="s">
        <v>407</v>
      </c>
      <c r="J201" s="121">
        <v>0</v>
      </c>
    </row>
    <row r="202" spans="1:10" x14ac:dyDescent="0.2">
      <c r="A202" s="121">
        <v>5</v>
      </c>
      <c r="B202" s="121">
        <v>2018</v>
      </c>
      <c r="C202" s="121" t="s">
        <v>50</v>
      </c>
      <c r="D202" s="121" t="s">
        <v>46</v>
      </c>
      <c r="E202" s="121">
        <v>49.268500000000003</v>
      </c>
      <c r="F202" s="121">
        <v>-122.93129999999999</v>
      </c>
      <c r="G202" s="121" t="s">
        <v>403</v>
      </c>
      <c r="H202" s="121" t="s">
        <v>416</v>
      </c>
      <c r="I202" s="121" t="s">
        <v>408</v>
      </c>
      <c r="J202" s="121">
        <v>1</v>
      </c>
    </row>
    <row r="203" spans="1:10" x14ac:dyDescent="0.2">
      <c r="A203" s="121">
        <v>5</v>
      </c>
      <c r="B203" s="121">
        <v>2018</v>
      </c>
      <c r="C203" s="121" t="s">
        <v>50</v>
      </c>
      <c r="D203" s="121" t="s">
        <v>404</v>
      </c>
      <c r="E203" s="121">
        <v>49.290799999999997</v>
      </c>
      <c r="F203" s="121">
        <v>-122.9503</v>
      </c>
      <c r="G203" s="121" t="s">
        <v>403</v>
      </c>
      <c r="H203" s="121" t="s">
        <v>400</v>
      </c>
      <c r="I203" s="121" t="s">
        <v>406</v>
      </c>
      <c r="J203" s="121">
        <v>0</v>
      </c>
    </row>
    <row r="204" spans="1:10" x14ac:dyDescent="0.2">
      <c r="A204" s="121">
        <v>5</v>
      </c>
      <c r="B204" s="121">
        <v>2018</v>
      </c>
      <c r="C204" s="121" t="s">
        <v>50</v>
      </c>
      <c r="D204" s="121" t="s">
        <v>404</v>
      </c>
      <c r="E204" s="121">
        <v>49.290799999999997</v>
      </c>
      <c r="F204" s="121">
        <v>-122.9503</v>
      </c>
      <c r="G204" s="121" t="s">
        <v>403</v>
      </c>
      <c r="H204" s="121" t="s">
        <v>400</v>
      </c>
      <c r="I204" s="121" t="s">
        <v>407</v>
      </c>
      <c r="J204" s="121">
        <v>12</v>
      </c>
    </row>
    <row r="205" spans="1:10" x14ac:dyDescent="0.2">
      <c r="A205" s="121">
        <v>6</v>
      </c>
      <c r="B205" s="121">
        <v>2018</v>
      </c>
      <c r="C205" s="121" t="s">
        <v>50</v>
      </c>
      <c r="D205" s="121" t="s">
        <v>51</v>
      </c>
      <c r="E205" s="121">
        <v>49.076599999999999</v>
      </c>
      <c r="F205" s="121">
        <v>-122.20269999999999</v>
      </c>
      <c r="G205" s="121" t="s">
        <v>402</v>
      </c>
      <c r="H205" s="121" t="s">
        <v>400</v>
      </c>
      <c r="I205" s="121" t="s">
        <v>406</v>
      </c>
      <c r="J205" s="121">
        <v>28</v>
      </c>
    </row>
    <row r="206" spans="1:10" x14ac:dyDescent="0.2">
      <c r="A206" s="121">
        <v>6</v>
      </c>
      <c r="B206" s="121">
        <v>2018</v>
      </c>
      <c r="C206" s="121" t="s">
        <v>50</v>
      </c>
      <c r="D206" s="121" t="s">
        <v>51</v>
      </c>
      <c r="E206" s="121">
        <v>49.076599999999999</v>
      </c>
      <c r="F206" s="121">
        <v>-122.20269999999999</v>
      </c>
      <c r="G206" s="121" t="s">
        <v>402</v>
      </c>
      <c r="H206" s="121" t="s">
        <v>400</v>
      </c>
      <c r="I206" s="121" t="s">
        <v>407</v>
      </c>
      <c r="J206" s="121">
        <v>0</v>
      </c>
    </row>
    <row r="207" spans="1:10" x14ac:dyDescent="0.2">
      <c r="A207" s="121">
        <v>6</v>
      </c>
      <c r="B207" s="121">
        <v>2018</v>
      </c>
      <c r="C207" s="121" t="s">
        <v>50</v>
      </c>
      <c r="D207" s="121" t="s">
        <v>46</v>
      </c>
      <c r="E207" s="121">
        <v>49.268500000000003</v>
      </c>
      <c r="F207" s="121">
        <v>-122.93129999999999</v>
      </c>
      <c r="G207" s="121" t="s">
        <v>403</v>
      </c>
      <c r="H207" s="121" t="s">
        <v>416</v>
      </c>
      <c r="I207" s="121" t="s">
        <v>406</v>
      </c>
      <c r="J207" s="121">
        <v>11</v>
      </c>
    </row>
    <row r="208" spans="1:10" x14ac:dyDescent="0.2">
      <c r="A208" s="121">
        <v>6</v>
      </c>
      <c r="B208" s="121">
        <v>2018</v>
      </c>
      <c r="C208" s="121" t="s">
        <v>50</v>
      </c>
      <c r="D208" s="121" t="s">
        <v>46</v>
      </c>
      <c r="E208" s="121">
        <v>49.268500000000003</v>
      </c>
      <c r="F208" s="121">
        <v>-122.93129999999999</v>
      </c>
      <c r="G208" s="121" t="s">
        <v>403</v>
      </c>
      <c r="H208" s="121" t="s">
        <v>416</v>
      </c>
      <c r="I208" s="121" t="s">
        <v>407</v>
      </c>
      <c r="J208" s="121">
        <v>0</v>
      </c>
    </row>
    <row r="209" spans="1:10" x14ac:dyDescent="0.2">
      <c r="A209" s="121">
        <v>6</v>
      </c>
      <c r="B209" s="121">
        <v>2018</v>
      </c>
      <c r="C209" s="121" t="s">
        <v>50</v>
      </c>
      <c r="D209" s="121" t="s">
        <v>46</v>
      </c>
      <c r="E209" s="121">
        <v>49.268500000000003</v>
      </c>
      <c r="F209" s="121">
        <v>-122.93129999999999</v>
      </c>
      <c r="G209" s="121" t="s">
        <v>403</v>
      </c>
      <c r="H209" s="121" t="s">
        <v>416</v>
      </c>
      <c r="I209" s="121" t="s">
        <v>408</v>
      </c>
      <c r="J209" s="121">
        <v>1</v>
      </c>
    </row>
    <row r="210" spans="1:10" x14ac:dyDescent="0.2">
      <c r="A210" s="121">
        <v>6</v>
      </c>
      <c r="B210" s="121">
        <v>2018</v>
      </c>
      <c r="C210" s="121" t="s">
        <v>50</v>
      </c>
      <c r="D210" s="121" t="s">
        <v>404</v>
      </c>
      <c r="E210" s="121">
        <v>49.290799999999997</v>
      </c>
      <c r="F210" s="121">
        <v>-122.9503</v>
      </c>
      <c r="G210" s="121" t="s">
        <v>403</v>
      </c>
      <c r="H210" s="121" t="s">
        <v>400</v>
      </c>
      <c r="I210" s="121" t="s">
        <v>406</v>
      </c>
      <c r="J210" s="121">
        <v>4</v>
      </c>
    </row>
    <row r="211" spans="1:10" x14ac:dyDescent="0.2">
      <c r="A211" s="121">
        <v>6</v>
      </c>
      <c r="B211" s="121">
        <v>2018</v>
      </c>
      <c r="C211" s="121" t="s">
        <v>50</v>
      </c>
      <c r="D211" s="121" t="s">
        <v>404</v>
      </c>
      <c r="E211" s="121">
        <v>49.290799999999997</v>
      </c>
      <c r="F211" s="121">
        <v>-122.9503</v>
      </c>
      <c r="G211" s="121" t="s">
        <v>403</v>
      </c>
      <c r="H211" s="121" t="s">
        <v>400</v>
      </c>
      <c r="I211" s="121" t="s">
        <v>407</v>
      </c>
      <c r="J211" s="121">
        <v>2</v>
      </c>
    </row>
  </sheetData>
  <autoFilter ref="A1:J211" xr:uid="{36AEA5DF-4C75-4DAF-AE14-276FB044C72F}"/>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701C2-C799-4F8C-BDE9-7031D276DEF7}">
  <sheetPr codeName="Sheet9"/>
  <dimension ref="A1:M31"/>
  <sheetViews>
    <sheetView zoomScaleNormal="100" workbookViewId="0">
      <selection activeCell="I17" sqref="I17"/>
    </sheetView>
  </sheetViews>
  <sheetFormatPr defaultColWidth="9" defaultRowHeight="14.25" x14ac:dyDescent="0.2"/>
  <cols>
    <col min="1" max="1" width="4.140625" style="121" bestFit="1" customWidth="1"/>
    <col min="2" max="2" width="8.85546875" style="121" bestFit="1" customWidth="1"/>
    <col min="3" max="3" width="10.7109375" style="121" customWidth="1"/>
    <col min="4" max="4" width="22.7109375" style="121" bestFit="1" customWidth="1"/>
    <col min="5" max="5" width="9.28515625" style="121" bestFit="1" customWidth="1"/>
    <col min="6" max="6" width="8" style="121" bestFit="1" customWidth="1"/>
    <col min="7" max="7" width="9.28515625" style="121" customWidth="1"/>
    <col min="8" max="8" width="9.140625" style="121" bestFit="1" customWidth="1"/>
    <col min="9" max="9" width="9.140625" style="121" customWidth="1"/>
    <col min="10" max="12" width="9.140625" style="121" bestFit="1" customWidth="1"/>
    <col min="13" max="13" width="8.5703125" style="121" bestFit="1" customWidth="1"/>
    <col min="14" max="16384" width="9" style="121"/>
  </cols>
  <sheetData>
    <row r="1" spans="1:13" ht="15" x14ac:dyDescent="0.25">
      <c r="H1" s="148" t="s">
        <v>420</v>
      </c>
      <c r="I1" s="148"/>
      <c r="J1" s="148" t="s">
        <v>424</v>
      </c>
      <c r="K1" s="148"/>
    </row>
    <row r="2" spans="1:13" s="133" customFormat="1" ht="105" x14ac:dyDescent="0.25">
      <c r="A2" s="133" t="s">
        <v>425</v>
      </c>
      <c r="B2" s="133" t="s">
        <v>418</v>
      </c>
      <c r="C2" s="133" t="s">
        <v>419</v>
      </c>
      <c r="D2" s="133" t="s">
        <v>451</v>
      </c>
      <c r="E2" s="133" t="s">
        <v>412</v>
      </c>
      <c r="F2" s="133" t="s">
        <v>413</v>
      </c>
      <c r="G2" s="133" t="s">
        <v>421</v>
      </c>
      <c r="H2" s="133" t="s">
        <v>418</v>
      </c>
      <c r="I2" s="133" t="s">
        <v>455</v>
      </c>
      <c r="J2" s="133" t="s">
        <v>418</v>
      </c>
      <c r="K2" s="133" t="s">
        <v>455</v>
      </c>
      <c r="L2" s="133" t="s">
        <v>422</v>
      </c>
      <c r="M2" s="133" t="s">
        <v>423</v>
      </c>
    </row>
    <row r="3" spans="1:13" x14ac:dyDescent="0.2">
      <c r="A3" s="121">
        <v>28</v>
      </c>
      <c r="B3" s="121" t="s">
        <v>45</v>
      </c>
      <c r="C3" s="121" t="s">
        <v>46</v>
      </c>
      <c r="D3" s="121" t="s">
        <v>452</v>
      </c>
      <c r="E3" s="121" t="s">
        <v>426</v>
      </c>
      <c r="F3" s="121">
        <v>12.8384</v>
      </c>
      <c r="G3" s="121">
        <v>-0.23568</v>
      </c>
      <c r="H3" s="121">
        <v>0.80630000000000002</v>
      </c>
      <c r="I3" s="121">
        <v>1.2482</v>
      </c>
      <c r="J3" s="121">
        <v>0.40570000000000001</v>
      </c>
      <c r="K3" s="121">
        <v>0.38329999999999997</v>
      </c>
      <c r="L3" s="121" t="s">
        <v>6</v>
      </c>
      <c r="M3" s="134">
        <v>15.4251</v>
      </c>
    </row>
    <row r="4" spans="1:13" x14ac:dyDescent="0.2">
      <c r="A4" s="121">
        <v>29</v>
      </c>
      <c r="B4" s="121" t="s">
        <v>45</v>
      </c>
      <c r="C4" s="121" t="s">
        <v>46</v>
      </c>
      <c r="D4" s="121" t="s">
        <v>453</v>
      </c>
      <c r="E4" s="121" t="s">
        <v>426</v>
      </c>
      <c r="F4" s="121">
        <v>12.8384</v>
      </c>
      <c r="G4" s="121">
        <v>-0.23568</v>
      </c>
      <c r="H4" s="121">
        <v>0.80630000000000002</v>
      </c>
      <c r="I4" s="121">
        <v>1.2482</v>
      </c>
      <c r="J4" s="121">
        <v>0.21579999999999999</v>
      </c>
      <c r="K4" s="121">
        <v>0.38329999999999997</v>
      </c>
      <c r="L4" s="121" t="s">
        <v>6</v>
      </c>
      <c r="M4" s="134">
        <v>15.235300000000001</v>
      </c>
    </row>
    <row r="5" spans="1:13" x14ac:dyDescent="0.2">
      <c r="A5" s="121">
        <v>30</v>
      </c>
      <c r="B5" s="121" t="s">
        <v>45</v>
      </c>
      <c r="C5" s="121" t="s">
        <v>46</v>
      </c>
      <c r="D5" s="121" t="s">
        <v>431</v>
      </c>
      <c r="E5" s="121" t="s">
        <v>426</v>
      </c>
      <c r="F5" s="121">
        <v>12.8384</v>
      </c>
      <c r="G5" s="121">
        <v>-0.23568</v>
      </c>
      <c r="H5" s="121">
        <v>0.12089999999999999</v>
      </c>
      <c r="I5" s="121">
        <v>1.2482</v>
      </c>
      <c r="J5" s="121">
        <v>0.25059999999999999</v>
      </c>
      <c r="K5" s="121">
        <v>0.38329999999999997</v>
      </c>
      <c r="L5" s="121" t="s">
        <v>6</v>
      </c>
      <c r="M5" s="134">
        <v>14.5847</v>
      </c>
    </row>
    <row r="6" spans="1:13" x14ac:dyDescent="0.2">
      <c r="A6" s="121">
        <v>31</v>
      </c>
      <c r="B6" s="121" t="s">
        <v>45</v>
      </c>
      <c r="C6" s="121" t="s">
        <v>46</v>
      </c>
      <c r="D6" s="121" t="s">
        <v>432</v>
      </c>
      <c r="E6" s="121" t="s">
        <v>426</v>
      </c>
      <c r="F6" s="121">
        <v>12.8384</v>
      </c>
      <c r="G6" s="121">
        <v>-0.23568</v>
      </c>
      <c r="H6" s="121">
        <v>0.12089999999999999</v>
      </c>
      <c r="I6" s="121">
        <v>1.2482</v>
      </c>
      <c r="J6" s="121">
        <v>6.08E-2</v>
      </c>
      <c r="K6" s="121">
        <v>0.38329999999999997</v>
      </c>
      <c r="L6" s="121" t="s">
        <v>6</v>
      </c>
      <c r="M6" s="134">
        <v>14.3949</v>
      </c>
    </row>
    <row r="7" spans="1:13" x14ac:dyDescent="0.2">
      <c r="A7" s="121">
        <v>32</v>
      </c>
      <c r="B7" s="121" t="s">
        <v>45</v>
      </c>
      <c r="C7" s="121" t="s">
        <v>46</v>
      </c>
      <c r="D7" s="121" t="s">
        <v>452</v>
      </c>
      <c r="E7" s="121" t="s">
        <v>427</v>
      </c>
      <c r="F7" s="121">
        <v>12.8384</v>
      </c>
      <c r="G7" s="121" t="s">
        <v>6</v>
      </c>
      <c r="H7" s="121">
        <v>0.80630000000000002</v>
      </c>
      <c r="I7" s="121">
        <v>1.2482</v>
      </c>
      <c r="J7" s="121">
        <v>0.40570000000000001</v>
      </c>
      <c r="K7" s="121">
        <v>0.38329999999999997</v>
      </c>
      <c r="L7" s="121" t="s">
        <v>6</v>
      </c>
      <c r="M7" s="134">
        <v>15.681900000000001</v>
      </c>
    </row>
    <row r="8" spans="1:13" x14ac:dyDescent="0.2">
      <c r="A8" s="121">
        <v>33</v>
      </c>
      <c r="B8" s="121" t="s">
        <v>45</v>
      </c>
      <c r="C8" s="121" t="s">
        <v>46</v>
      </c>
      <c r="D8" s="121" t="s">
        <v>453</v>
      </c>
      <c r="E8" s="121" t="s">
        <v>427</v>
      </c>
      <c r="F8" s="121">
        <v>12.8384</v>
      </c>
      <c r="G8" s="121" t="s">
        <v>6</v>
      </c>
      <c r="H8" s="121">
        <v>0.80630000000000002</v>
      </c>
      <c r="I8" s="121">
        <v>1.2482</v>
      </c>
      <c r="J8" s="121">
        <v>0.21579999999999999</v>
      </c>
      <c r="K8" s="121">
        <v>0.38329999999999997</v>
      </c>
      <c r="L8" s="121" t="s">
        <v>6</v>
      </c>
      <c r="M8" s="134">
        <v>15.492100000000001</v>
      </c>
    </row>
    <row r="9" spans="1:13" x14ac:dyDescent="0.2">
      <c r="A9" s="121">
        <v>34</v>
      </c>
      <c r="B9" s="121" t="s">
        <v>45</v>
      </c>
      <c r="C9" s="121" t="s">
        <v>46</v>
      </c>
      <c r="D9" s="121" t="s">
        <v>431</v>
      </c>
      <c r="E9" s="121" t="s">
        <v>427</v>
      </c>
      <c r="F9" s="121">
        <v>12.8384</v>
      </c>
      <c r="G9" s="121" t="s">
        <v>6</v>
      </c>
      <c r="H9" s="121">
        <v>0.12089999999999999</v>
      </c>
      <c r="I9" s="121">
        <v>1.2482</v>
      </c>
      <c r="J9" s="121">
        <v>0.25059999999999999</v>
      </c>
      <c r="K9" s="121">
        <v>0.38329999999999997</v>
      </c>
      <c r="L9" s="121" t="s">
        <v>6</v>
      </c>
      <c r="M9" s="134">
        <v>14.8415</v>
      </c>
    </row>
    <row r="10" spans="1:13" x14ac:dyDescent="0.2">
      <c r="A10" s="121">
        <v>35</v>
      </c>
      <c r="B10" s="121" t="s">
        <v>45</v>
      </c>
      <c r="C10" s="121" t="s">
        <v>46</v>
      </c>
      <c r="D10" s="121" t="s">
        <v>432</v>
      </c>
      <c r="E10" s="121" t="s">
        <v>427</v>
      </c>
      <c r="F10" s="121">
        <v>12.8384</v>
      </c>
      <c r="G10" s="121" t="s">
        <v>6</v>
      </c>
      <c r="H10" s="121">
        <v>0.12089999999999999</v>
      </c>
      <c r="I10" s="121">
        <v>1.2482</v>
      </c>
      <c r="J10" s="121">
        <v>6.08E-2</v>
      </c>
      <c r="K10" s="121">
        <v>0.38329999999999997</v>
      </c>
      <c r="L10" s="121" t="s">
        <v>6</v>
      </c>
      <c r="M10" s="134">
        <v>14.6517</v>
      </c>
    </row>
    <row r="11" spans="1:13" x14ac:dyDescent="0.2">
      <c r="A11" s="121">
        <v>36</v>
      </c>
      <c r="B11" s="121" t="s">
        <v>45</v>
      </c>
      <c r="C11" s="121" t="s">
        <v>46</v>
      </c>
      <c r="D11" s="121" t="s">
        <v>454</v>
      </c>
      <c r="E11" s="121" t="s">
        <v>427</v>
      </c>
      <c r="F11" s="121">
        <v>12.8384</v>
      </c>
      <c r="G11" s="121" t="s">
        <v>6</v>
      </c>
      <c r="H11" s="121">
        <v>0.12089999999999999</v>
      </c>
      <c r="I11" s="121">
        <v>1.2482</v>
      </c>
      <c r="J11" s="121">
        <v>0.27460000000000001</v>
      </c>
      <c r="K11" s="121">
        <v>0.38329999999999997</v>
      </c>
      <c r="L11" s="121" t="s">
        <v>6</v>
      </c>
      <c r="M11" s="134">
        <v>14.865500000000001</v>
      </c>
    </row>
    <row r="12" spans="1:13" x14ac:dyDescent="0.2">
      <c r="A12" s="121">
        <v>37</v>
      </c>
      <c r="B12" s="121" t="s">
        <v>45</v>
      </c>
      <c r="C12" s="121" t="s">
        <v>47</v>
      </c>
      <c r="D12" s="121" t="s">
        <v>452</v>
      </c>
      <c r="E12" s="121" t="s">
        <v>427</v>
      </c>
      <c r="F12" s="121">
        <v>12.883900000000001</v>
      </c>
      <c r="G12" s="121" t="s">
        <v>6</v>
      </c>
      <c r="H12" s="121">
        <v>0.80630000000000002</v>
      </c>
      <c r="I12" s="121">
        <v>1.2482</v>
      </c>
      <c r="J12" s="121">
        <v>0.40570000000000001</v>
      </c>
      <c r="K12" s="121">
        <v>0.38329999999999997</v>
      </c>
      <c r="L12" s="121">
        <v>1.4917</v>
      </c>
      <c r="M12" s="134">
        <v>17.219000000000001</v>
      </c>
    </row>
    <row r="13" spans="1:13" x14ac:dyDescent="0.2">
      <c r="A13" s="121">
        <v>38</v>
      </c>
      <c r="B13" s="121" t="s">
        <v>45</v>
      </c>
      <c r="C13" s="121" t="s">
        <v>47</v>
      </c>
      <c r="D13" s="121" t="s">
        <v>453</v>
      </c>
      <c r="E13" s="121" t="s">
        <v>427</v>
      </c>
      <c r="F13" s="121">
        <v>12.883900000000001</v>
      </c>
      <c r="G13" s="121" t="s">
        <v>6</v>
      </c>
      <c r="H13" s="121">
        <v>0.80630000000000002</v>
      </c>
      <c r="I13" s="121">
        <v>1.2482</v>
      </c>
      <c r="J13" s="121">
        <v>0.21579999999999999</v>
      </c>
      <c r="K13" s="121">
        <v>0.38329999999999997</v>
      </c>
      <c r="L13" s="121">
        <v>1.4917</v>
      </c>
      <c r="M13" s="134">
        <v>17.029199999999999</v>
      </c>
    </row>
    <row r="14" spans="1:13" x14ac:dyDescent="0.2">
      <c r="A14" s="121">
        <v>39</v>
      </c>
      <c r="B14" s="121" t="s">
        <v>45</v>
      </c>
      <c r="C14" s="121" t="s">
        <v>47</v>
      </c>
      <c r="D14" s="121" t="s">
        <v>431</v>
      </c>
      <c r="E14" s="121" t="s">
        <v>427</v>
      </c>
      <c r="F14" s="121">
        <v>12.883900000000001</v>
      </c>
      <c r="G14" s="121" t="s">
        <v>6</v>
      </c>
      <c r="H14" s="121">
        <v>0.12089999999999999</v>
      </c>
      <c r="I14" s="121">
        <v>1.2482</v>
      </c>
      <c r="J14" s="121">
        <v>0.25059999999999999</v>
      </c>
      <c r="K14" s="121">
        <v>0.38329999999999997</v>
      </c>
      <c r="L14" s="121">
        <v>1.4917</v>
      </c>
      <c r="M14" s="134">
        <v>16.378699999999998</v>
      </c>
    </row>
    <row r="15" spans="1:13" x14ac:dyDescent="0.2">
      <c r="A15" s="121">
        <v>40</v>
      </c>
      <c r="B15" s="121" t="s">
        <v>45</v>
      </c>
      <c r="C15" s="121" t="s">
        <v>47</v>
      </c>
      <c r="D15" s="121" t="s">
        <v>432</v>
      </c>
      <c r="E15" s="121" t="s">
        <v>427</v>
      </c>
      <c r="F15" s="121">
        <v>12.883900000000001</v>
      </c>
      <c r="G15" s="121" t="s">
        <v>6</v>
      </c>
      <c r="H15" s="121">
        <v>0.12089999999999999</v>
      </c>
      <c r="I15" s="121">
        <v>1.2482</v>
      </c>
      <c r="J15" s="121">
        <v>6.08E-2</v>
      </c>
      <c r="K15" s="121">
        <v>0.38329999999999997</v>
      </c>
      <c r="L15" s="121">
        <v>1.4917</v>
      </c>
      <c r="M15" s="134">
        <v>16.1889</v>
      </c>
    </row>
    <row r="16" spans="1:13" x14ac:dyDescent="0.2">
      <c r="A16" s="121">
        <v>41</v>
      </c>
      <c r="B16" s="121" t="s">
        <v>45</v>
      </c>
      <c r="C16" s="121" t="s">
        <v>47</v>
      </c>
      <c r="D16" s="121" t="s">
        <v>454</v>
      </c>
      <c r="E16" s="121" t="s">
        <v>427</v>
      </c>
      <c r="F16" s="121">
        <v>12.883900000000001</v>
      </c>
      <c r="G16" s="121" t="s">
        <v>6</v>
      </c>
      <c r="H16" s="121">
        <v>0.12089999999999999</v>
      </c>
      <c r="I16" s="121">
        <v>1.2482</v>
      </c>
      <c r="J16" s="121">
        <v>0.27460000000000001</v>
      </c>
      <c r="K16" s="121">
        <v>0.38329999999999997</v>
      </c>
      <c r="L16" s="121">
        <v>1.4917</v>
      </c>
      <c r="M16" s="134">
        <v>16.4026</v>
      </c>
    </row>
    <row r="17" spans="1:13" x14ac:dyDescent="0.2">
      <c r="A17" s="121">
        <v>42</v>
      </c>
      <c r="B17" s="121" t="s">
        <v>45</v>
      </c>
      <c r="C17" s="121" t="s">
        <v>47</v>
      </c>
      <c r="D17" s="121" t="s">
        <v>452</v>
      </c>
      <c r="E17" s="121" t="s">
        <v>428</v>
      </c>
      <c r="F17" s="121">
        <v>12.883900000000001</v>
      </c>
      <c r="G17" s="121">
        <v>0.64419999999999999</v>
      </c>
      <c r="H17" s="121">
        <v>0.80630000000000002</v>
      </c>
      <c r="I17" s="121">
        <v>1.2482</v>
      </c>
      <c r="J17" s="121">
        <v>0.40570000000000001</v>
      </c>
      <c r="K17" s="121">
        <v>0.38329999999999997</v>
      </c>
      <c r="L17" s="121">
        <v>1.4917</v>
      </c>
      <c r="M17" s="134">
        <v>17.863199999999999</v>
      </c>
    </row>
    <row r="18" spans="1:13" x14ac:dyDescent="0.2">
      <c r="A18" s="121">
        <v>43</v>
      </c>
      <c r="B18" s="121" t="s">
        <v>45</v>
      </c>
      <c r="C18" s="121" t="s">
        <v>47</v>
      </c>
      <c r="D18" s="121" t="s">
        <v>453</v>
      </c>
      <c r="E18" s="121" t="s">
        <v>428</v>
      </c>
      <c r="F18" s="121">
        <v>12.883900000000001</v>
      </c>
      <c r="G18" s="121">
        <v>0.64419999999999999</v>
      </c>
      <c r="H18" s="121">
        <v>0.80630000000000002</v>
      </c>
      <c r="I18" s="121">
        <v>1.2482</v>
      </c>
      <c r="J18" s="121">
        <v>0.21579999999999999</v>
      </c>
      <c r="K18" s="121">
        <v>0.38329999999999997</v>
      </c>
      <c r="L18" s="121">
        <v>1.4917</v>
      </c>
      <c r="M18" s="134">
        <v>17.673400000000001</v>
      </c>
    </row>
    <row r="19" spans="1:13" x14ac:dyDescent="0.2">
      <c r="A19" s="121">
        <v>44</v>
      </c>
      <c r="B19" s="121" t="s">
        <v>45</v>
      </c>
      <c r="C19" s="121" t="s">
        <v>47</v>
      </c>
      <c r="D19" s="121" t="s">
        <v>431</v>
      </c>
      <c r="E19" s="121" t="s">
        <v>428</v>
      </c>
      <c r="F19" s="121">
        <v>12.883900000000001</v>
      </c>
      <c r="G19" s="121">
        <v>0.64419999999999999</v>
      </c>
      <c r="H19" s="121">
        <v>0.12089999999999999</v>
      </c>
      <c r="I19" s="121">
        <v>1.2482</v>
      </c>
      <c r="J19" s="121">
        <v>0.25059999999999999</v>
      </c>
      <c r="K19" s="121">
        <v>0.38329999999999997</v>
      </c>
      <c r="L19" s="121">
        <v>1.4917</v>
      </c>
      <c r="M19" s="134">
        <v>17.0229</v>
      </c>
    </row>
    <row r="20" spans="1:13" x14ac:dyDescent="0.2">
      <c r="A20" s="121">
        <v>45</v>
      </c>
      <c r="B20" s="121" t="s">
        <v>45</v>
      </c>
      <c r="C20" s="121" t="s">
        <v>47</v>
      </c>
      <c r="D20" s="121" t="s">
        <v>432</v>
      </c>
      <c r="E20" s="121" t="s">
        <v>428</v>
      </c>
      <c r="F20" s="121">
        <v>12.883900000000001</v>
      </c>
      <c r="G20" s="121">
        <v>0.64419999999999999</v>
      </c>
      <c r="H20" s="121">
        <v>0.12089999999999999</v>
      </c>
      <c r="I20" s="121">
        <v>1.2482</v>
      </c>
      <c r="J20" s="121">
        <v>6.08E-2</v>
      </c>
      <c r="K20" s="121">
        <v>0.38329999999999997</v>
      </c>
      <c r="L20" s="121">
        <v>1.4917</v>
      </c>
      <c r="M20" s="134">
        <v>16.833100000000002</v>
      </c>
    </row>
    <row r="21" spans="1:13" x14ac:dyDescent="0.2">
      <c r="A21" s="121">
        <v>46</v>
      </c>
      <c r="B21" s="121" t="s">
        <v>45</v>
      </c>
      <c r="C21" s="121" t="s">
        <v>47</v>
      </c>
      <c r="D21" s="121" t="s">
        <v>454</v>
      </c>
      <c r="E21" s="121" t="s">
        <v>428</v>
      </c>
      <c r="F21" s="121">
        <v>12.883900000000001</v>
      </c>
      <c r="G21" s="121">
        <v>0.64419999999999999</v>
      </c>
      <c r="H21" s="121">
        <v>0.12089999999999999</v>
      </c>
      <c r="I21" s="121">
        <v>1.2482</v>
      </c>
      <c r="J21" s="121">
        <v>0.27460000000000001</v>
      </c>
      <c r="K21" s="121">
        <v>0.38329999999999997</v>
      </c>
      <c r="L21" s="121">
        <v>1.4917</v>
      </c>
      <c r="M21" s="134">
        <v>17.046800000000001</v>
      </c>
    </row>
    <row r="22" spans="1:13" x14ac:dyDescent="0.2">
      <c r="A22" s="121">
        <v>47</v>
      </c>
      <c r="B22" s="121" t="s">
        <v>45</v>
      </c>
      <c r="C22" s="121" t="s">
        <v>47</v>
      </c>
      <c r="D22" s="121" t="s">
        <v>452</v>
      </c>
      <c r="E22" s="121" t="s">
        <v>429</v>
      </c>
      <c r="F22" s="121">
        <v>12.883900000000001</v>
      </c>
      <c r="G22" s="121">
        <v>1.9326000000000001</v>
      </c>
      <c r="H22" s="121">
        <v>0.80630000000000002</v>
      </c>
      <c r="I22" s="121">
        <v>1.2482</v>
      </c>
      <c r="J22" s="121">
        <v>0.40570000000000001</v>
      </c>
      <c r="K22" s="121">
        <v>0.38329999999999997</v>
      </c>
      <c r="L22" s="121">
        <v>1.4917</v>
      </c>
      <c r="M22" s="134">
        <v>19.151599999999998</v>
      </c>
    </row>
    <row r="23" spans="1:13" x14ac:dyDescent="0.2">
      <c r="A23" s="121">
        <v>48</v>
      </c>
      <c r="B23" s="121" t="s">
        <v>45</v>
      </c>
      <c r="C23" s="121" t="s">
        <v>47</v>
      </c>
      <c r="D23" s="121" t="s">
        <v>453</v>
      </c>
      <c r="E23" s="121" t="s">
        <v>429</v>
      </c>
      <c r="F23" s="121">
        <v>12.883900000000001</v>
      </c>
      <c r="G23" s="121">
        <v>1.9326000000000001</v>
      </c>
      <c r="H23" s="121">
        <v>0.80630000000000002</v>
      </c>
      <c r="I23" s="121">
        <v>1.2482</v>
      </c>
      <c r="J23" s="121">
        <v>0.21579999999999999</v>
      </c>
      <c r="K23" s="121">
        <v>0.38329999999999997</v>
      </c>
      <c r="L23" s="121">
        <v>1.4917</v>
      </c>
      <c r="M23" s="134">
        <v>18.9618</v>
      </c>
    </row>
    <row r="24" spans="1:13" x14ac:dyDescent="0.2">
      <c r="A24" s="121">
        <v>49</v>
      </c>
      <c r="B24" s="121" t="s">
        <v>45</v>
      </c>
      <c r="C24" s="121" t="s">
        <v>47</v>
      </c>
      <c r="D24" s="121" t="s">
        <v>431</v>
      </c>
      <c r="E24" s="121" t="s">
        <v>429</v>
      </c>
      <c r="F24" s="121">
        <v>12.883900000000001</v>
      </c>
      <c r="G24" s="121">
        <v>1.9326000000000001</v>
      </c>
      <c r="H24" s="121">
        <v>0.12089999999999999</v>
      </c>
      <c r="I24" s="121">
        <v>1.2482</v>
      </c>
      <c r="J24" s="121">
        <v>0.25059999999999999</v>
      </c>
      <c r="K24" s="121">
        <v>0.38329999999999997</v>
      </c>
      <c r="L24" s="121">
        <v>1.4917</v>
      </c>
      <c r="M24" s="134">
        <v>18.311299999999999</v>
      </c>
    </row>
    <row r="25" spans="1:13" x14ac:dyDescent="0.2">
      <c r="A25" s="121">
        <v>50</v>
      </c>
      <c r="B25" s="121" t="s">
        <v>45</v>
      </c>
      <c r="C25" s="121" t="s">
        <v>47</v>
      </c>
      <c r="D25" s="121" t="s">
        <v>432</v>
      </c>
      <c r="E25" s="121" t="s">
        <v>429</v>
      </c>
      <c r="F25" s="121">
        <v>12.883900000000001</v>
      </c>
      <c r="G25" s="121">
        <v>1.9326000000000001</v>
      </c>
      <c r="H25" s="121">
        <v>0.12089999999999999</v>
      </c>
      <c r="I25" s="121">
        <v>1.2482</v>
      </c>
      <c r="J25" s="121">
        <v>6.08E-2</v>
      </c>
      <c r="K25" s="121">
        <v>0.38329999999999997</v>
      </c>
      <c r="L25" s="121">
        <v>1.4917</v>
      </c>
      <c r="M25" s="134">
        <v>18.121500000000001</v>
      </c>
    </row>
    <row r="26" spans="1:13" x14ac:dyDescent="0.2">
      <c r="A26" s="121">
        <v>51</v>
      </c>
      <c r="B26" s="121" t="s">
        <v>45</v>
      </c>
      <c r="C26" s="121" t="s">
        <v>47</v>
      </c>
      <c r="D26" s="121" t="s">
        <v>454</v>
      </c>
      <c r="E26" s="121" t="s">
        <v>429</v>
      </c>
      <c r="F26" s="121">
        <v>12.883900000000001</v>
      </c>
      <c r="G26" s="121">
        <v>1.9326000000000001</v>
      </c>
      <c r="H26" s="121">
        <v>0.12089999999999999</v>
      </c>
      <c r="I26" s="121">
        <v>1.2482</v>
      </c>
      <c r="J26" s="121">
        <v>0.27460000000000001</v>
      </c>
      <c r="K26" s="121">
        <v>0.38329999999999997</v>
      </c>
      <c r="L26" s="121">
        <v>1.4917</v>
      </c>
      <c r="M26" s="134">
        <v>18.3352</v>
      </c>
    </row>
    <row r="27" spans="1:13" x14ac:dyDescent="0.2">
      <c r="A27" s="121">
        <v>52</v>
      </c>
      <c r="B27" s="121" t="s">
        <v>45</v>
      </c>
      <c r="C27" s="121" t="s">
        <v>47</v>
      </c>
      <c r="D27" s="121" t="s">
        <v>452</v>
      </c>
      <c r="E27" s="121" t="s">
        <v>430</v>
      </c>
      <c r="F27" s="121">
        <v>12.883900000000001</v>
      </c>
      <c r="G27" s="121">
        <v>2.5768</v>
      </c>
      <c r="H27" s="121">
        <v>0.80630000000000002</v>
      </c>
      <c r="I27" s="121">
        <v>1.2482</v>
      </c>
      <c r="J27" s="121">
        <v>0.40570000000000001</v>
      </c>
      <c r="K27" s="121">
        <v>0.38329999999999997</v>
      </c>
      <c r="L27" s="121">
        <v>1.4917</v>
      </c>
      <c r="M27" s="134">
        <v>19.7958</v>
      </c>
    </row>
    <row r="28" spans="1:13" x14ac:dyDescent="0.2">
      <c r="A28" s="121">
        <v>53</v>
      </c>
      <c r="B28" s="121" t="s">
        <v>45</v>
      </c>
      <c r="C28" s="121" t="s">
        <v>47</v>
      </c>
      <c r="D28" s="121" t="s">
        <v>453</v>
      </c>
      <c r="E28" s="121" t="s">
        <v>430</v>
      </c>
      <c r="F28" s="121">
        <v>12.883900000000001</v>
      </c>
      <c r="G28" s="121">
        <v>2.5768</v>
      </c>
      <c r="H28" s="121">
        <v>0.80630000000000002</v>
      </c>
      <c r="I28" s="121">
        <v>1.2482</v>
      </c>
      <c r="J28" s="121">
        <v>0.21579999999999999</v>
      </c>
      <c r="K28" s="121">
        <v>0.38329999999999997</v>
      </c>
      <c r="L28" s="121">
        <v>1.4917</v>
      </c>
      <c r="M28" s="134">
        <v>19.606000000000002</v>
      </c>
    </row>
    <row r="29" spans="1:13" x14ac:dyDescent="0.2">
      <c r="A29" s="121">
        <v>54</v>
      </c>
      <c r="B29" s="121" t="s">
        <v>45</v>
      </c>
      <c r="C29" s="121" t="s">
        <v>47</v>
      </c>
      <c r="D29" s="121" t="s">
        <v>431</v>
      </c>
      <c r="E29" s="121" t="s">
        <v>430</v>
      </c>
      <c r="F29" s="121">
        <v>12.883900000000001</v>
      </c>
      <c r="G29" s="121">
        <v>2.5768</v>
      </c>
      <c r="H29" s="121">
        <v>0.12089999999999999</v>
      </c>
      <c r="I29" s="121">
        <v>1.2482</v>
      </c>
      <c r="J29" s="121">
        <v>0.25059999999999999</v>
      </c>
      <c r="K29" s="121">
        <v>0.38329999999999997</v>
      </c>
      <c r="L29" s="121">
        <v>1.4917</v>
      </c>
      <c r="M29" s="134">
        <v>18.955500000000001</v>
      </c>
    </row>
    <row r="30" spans="1:13" x14ac:dyDescent="0.2">
      <c r="A30" s="121">
        <v>55</v>
      </c>
      <c r="B30" s="121" t="s">
        <v>45</v>
      </c>
      <c r="C30" s="121" t="s">
        <v>47</v>
      </c>
      <c r="D30" s="121" t="s">
        <v>432</v>
      </c>
      <c r="E30" s="121" t="s">
        <v>430</v>
      </c>
      <c r="F30" s="121">
        <v>12.883900000000001</v>
      </c>
      <c r="G30" s="121">
        <v>2.5768</v>
      </c>
      <c r="H30" s="121">
        <v>0.12089999999999999</v>
      </c>
      <c r="I30" s="121">
        <v>1.2482</v>
      </c>
      <c r="J30" s="121">
        <v>6.08E-2</v>
      </c>
      <c r="K30" s="121">
        <v>0.38329999999999997</v>
      </c>
      <c r="L30" s="121">
        <v>1.4917</v>
      </c>
      <c r="M30" s="134">
        <v>18.765699999999999</v>
      </c>
    </row>
    <row r="31" spans="1:13" x14ac:dyDescent="0.2">
      <c r="A31" s="121">
        <v>56</v>
      </c>
      <c r="B31" s="121" t="s">
        <v>45</v>
      </c>
      <c r="C31" s="121" t="s">
        <v>47</v>
      </c>
      <c r="D31" s="121" t="s">
        <v>454</v>
      </c>
      <c r="E31" s="121" t="s">
        <v>430</v>
      </c>
      <c r="F31" s="121">
        <v>12.883900000000001</v>
      </c>
      <c r="G31" s="121">
        <v>2.5768</v>
      </c>
      <c r="H31" s="121">
        <v>0.12089999999999999</v>
      </c>
      <c r="I31" s="121">
        <v>1.2482</v>
      </c>
      <c r="J31" s="121">
        <v>0.27460000000000001</v>
      </c>
      <c r="K31" s="121">
        <v>0.38329999999999997</v>
      </c>
      <c r="L31" s="121">
        <v>1.4917</v>
      </c>
      <c r="M31" s="134">
        <v>18.979399999999998</v>
      </c>
    </row>
  </sheetData>
  <mergeCells count="2">
    <mergeCell ref="H1:I1"/>
    <mergeCell ref="J1:K1"/>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585AF-1446-4978-8A01-4EB846672524}">
  <sheetPr codeName="Sheet10"/>
  <dimension ref="A1:P117"/>
  <sheetViews>
    <sheetView zoomScaleNormal="100" workbookViewId="0">
      <selection activeCell="F20" sqref="F20"/>
    </sheetView>
  </sheetViews>
  <sheetFormatPr defaultColWidth="9" defaultRowHeight="15" x14ac:dyDescent="0.2"/>
  <cols>
    <col min="1" max="1" width="13.140625" style="135" bestFit="1" customWidth="1"/>
    <col min="2" max="10" width="9.140625" style="135" bestFit="1" customWidth="1"/>
    <col min="11" max="13" width="9" style="135"/>
    <col min="14" max="14" width="12" style="135" bestFit="1" customWidth="1"/>
    <col min="15" max="15" width="13" style="135" bestFit="1" customWidth="1"/>
    <col min="16" max="16" width="12.140625" style="135" bestFit="1" customWidth="1"/>
    <col min="17" max="17" width="9.5703125" style="135" customWidth="1"/>
    <col min="18" max="16384" width="9" style="135"/>
  </cols>
  <sheetData>
    <row r="1" spans="1:11" x14ac:dyDescent="0.2">
      <c r="A1" s="135" t="s">
        <v>40</v>
      </c>
      <c r="B1" s="135" t="s">
        <v>41</v>
      </c>
      <c r="C1" s="135" t="s">
        <v>42</v>
      </c>
      <c r="D1" s="135" t="s">
        <v>456</v>
      </c>
      <c r="E1" s="135" t="s">
        <v>459</v>
      </c>
      <c r="F1" s="135" t="s">
        <v>460</v>
      </c>
      <c r="G1" s="135" t="s">
        <v>43</v>
      </c>
      <c r="H1" s="135" t="s">
        <v>44</v>
      </c>
      <c r="I1" s="135" t="s">
        <v>457</v>
      </c>
      <c r="J1" s="135" t="s">
        <v>458</v>
      </c>
    </row>
    <row r="2" spans="1:11" x14ac:dyDescent="0.2">
      <c r="A2" s="136">
        <v>39814.291666666664</v>
      </c>
      <c r="B2" s="135">
        <v>41.92</v>
      </c>
      <c r="C2" s="135">
        <v>29.97</v>
      </c>
      <c r="D2" s="137">
        <v>-11.95</v>
      </c>
      <c r="E2" s="137">
        <f>D2-$N$32</f>
        <v>-31.95</v>
      </c>
      <c r="F2" s="137">
        <f>D2-$O$32</f>
        <v>-27.95</v>
      </c>
      <c r="G2" s="135">
        <v>39.549999999999997</v>
      </c>
      <c r="H2" s="135">
        <v>36.61</v>
      </c>
      <c r="I2" s="135">
        <f>H2-G2</f>
        <v>-2.9399999999999977</v>
      </c>
      <c r="J2" s="137">
        <f>I2-D2</f>
        <v>9.0100000000000016</v>
      </c>
      <c r="K2" s="137"/>
    </row>
    <row r="3" spans="1:11" x14ac:dyDescent="0.2">
      <c r="A3" s="136">
        <v>39845.291666666664</v>
      </c>
      <c r="B3" s="135">
        <v>39.26</v>
      </c>
      <c r="C3" s="135">
        <v>31.71</v>
      </c>
      <c r="D3" s="135">
        <v>-7.55</v>
      </c>
      <c r="E3" s="137">
        <f t="shared" ref="E3:E66" si="0">D3-$N$32</f>
        <v>-27.55</v>
      </c>
      <c r="F3" s="137">
        <f t="shared" ref="F3:F66" si="1">D3-$O$32</f>
        <v>-23.55</v>
      </c>
      <c r="G3" s="135">
        <v>38.07</v>
      </c>
      <c r="H3" s="135">
        <v>37.119999999999997</v>
      </c>
      <c r="I3" s="135">
        <f t="shared" ref="I3:I66" si="2">H3-G3</f>
        <v>-0.95000000000000284</v>
      </c>
      <c r="J3" s="137">
        <f t="shared" ref="J3:J66" si="3">I3-D3</f>
        <v>6.599999999999997</v>
      </c>
    </row>
    <row r="4" spans="1:11" x14ac:dyDescent="0.2">
      <c r="A4" s="136">
        <v>39873.291666666664</v>
      </c>
      <c r="B4" s="135">
        <v>48.06</v>
      </c>
      <c r="C4" s="135">
        <v>40.76</v>
      </c>
      <c r="D4" s="135">
        <v>-7.3</v>
      </c>
      <c r="E4" s="137">
        <f t="shared" si="0"/>
        <v>-27.3</v>
      </c>
      <c r="F4" s="137">
        <f t="shared" si="1"/>
        <v>-23.3</v>
      </c>
      <c r="G4" s="135">
        <v>47.78</v>
      </c>
      <c r="H4" s="135">
        <v>40.36</v>
      </c>
      <c r="I4" s="135">
        <f t="shared" si="2"/>
        <v>-7.4200000000000017</v>
      </c>
      <c r="J4" s="137">
        <f t="shared" si="3"/>
        <v>-0.12000000000000188</v>
      </c>
    </row>
    <row r="5" spans="1:11" x14ac:dyDescent="0.2">
      <c r="A5" s="136">
        <v>39904.25</v>
      </c>
      <c r="B5" s="135">
        <v>49.95</v>
      </c>
      <c r="C5" s="135">
        <v>43.76</v>
      </c>
      <c r="D5" s="135">
        <v>-6.19</v>
      </c>
      <c r="E5" s="137">
        <f t="shared" si="0"/>
        <v>-26.19</v>
      </c>
      <c r="F5" s="137">
        <f t="shared" si="1"/>
        <v>-22.19</v>
      </c>
      <c r="G5" s="135">
        <v>48.78</v>
      </c>
      <c r="H5" s="135">
        <v>46.17</v>
      </c>
      <c r="I5" s="135">
        <f t="shared" si="2"/>
        <v>-2.6099999999999994</v>
      </c>
      <c r="J5" s="137">
        <f t="shared" si="3"/>
        <v>3.580000000000001</v>
      </c>
    </row>
    <row r="6" spans="1:11" x14ac:dyDescent="0.2">
      <c r="A6" s="136">
        <v>39934.25</v>
      </c>
      <c r="B6" s="135">
        <v>59.21</v>
      </c>
      <c r="C6" s="135">
        <v>51.64</v>
      </c>
      <c r="D6" s="135">
        <v>-7.57</v>
      </c>
      <c r="E6" s="137">
        <f t="shared" si="0"/>
        <v>-27.57</v>
      </c>
      <c r="F6" s="137">
        <f t="shared" si="1"/>
        <v>-23.57</v>
      </c>
      <c r="G6" s="135">
        <v>56.52</v>
      </c>
      <c r="H6" s="135">
        <v>54.99</v>
      </c>
      <c r="I6" s="135">
        <f t="shared" si="2"/>
        <v>-1.5300000000000011</v>
      </c>
      <c r="J6" s="137">
        <f t="shared" si="3"/>
        <v>6.0399999999999991</v>
      </c>
    </row>
    <row r="7" spans="1:11" x14ac:dyDescent="0.2">
      <c r="A7" s="136">
        <v>39965.25</v>
      </c>
      <c r="B7" s="135">
        <v>69.7</v>
      </c>
      <c r="C7" s="135">
        <v>61.18</v>
      </c>
      <c r="D7" s="135">
        <v>-8.52</v>
      </c>
      <c r="E7" s="137">
        <f t="shared" si="0"/>
        <v>-28.52</v>
      </c>
      <c r="F7" s="137">
        <f t="shared" si="1"/>
        <v>-24.52</v>
      </c>
      <c r="G7" s="135">
        <v>66.64</v>
      </c>
      <c r="H7" s="135">
        <v>62.89</v>
      </c>
      <c r="I7" s="135">
        <f t="shared" si="2"/>
        <v>-3.75</v>
      </c>
      <c r="J7" s="137">
        <f t="shared" si="3"/>
        <v>4.7699999999999996</v>
      </c>
    </row>
    <row r="8" spans="1:11" x14ac:dyDescent="0.2">
      <c r="A8" s="136">
        <v>39995.25</v>
      </c>
      <c r="B8" s="135">
        <v>64.290000000000006</v>
      </c>
      <c r="C8" s="135">
        <v>54.45</v>
      </c>
      <c r="D8" s="135">
        <v>-9.84</v>
      </c>
      <c r="E8" s="137">
        <f t="shared" si="0"/>
        <v>-29.84</v>
      </c>
      <c r="F8" s="137">
        <f t="shared" si="1"/>
        <v>-25.84</v>
      </c>
      <c r="G8" s="135">
        <v>63.4</v>
      </c>
      <c r="H8" s="135">
        <v>59.36</v>
      </c>
      <c r="I8" s="135">
        <f t="shared" si="2"/>
        <v>-4.0399999999999991</v>
      </c>
      <c r="J8" s="137">
        <f t="shared" si="3"/>
        <v>5.8000000000000007</v>
      </c>
    </row>
    <row r="9" spans="1:11" x14ac:dyDescent="0.2">
      <c r="A9" s="136">
        <v>40026.25</v>
      </c>
      <c r="B9" s="135">
        <v>71.14</v>
      </c>
      <c r="C9" s="135">
        <v>60.57</v>
      </c>
      <c r="D9" s="135">
        <v>-10.57</v>
      </c>
      <c r="E9" s="137">
        <f t="shared" si="0"/>
        <v>-30.57</v>
      </c>
      <c r="F9" s="137">
        <f t="shared" si="1"/>
        <v>-26.57</v>
      </c>
      <c r="G9" s="135">
        <v>69.59</v>
      </c>
      <c r="H9" s="135">
        <v>66.27</v>
      </c>
      <c r="I9" s="135">
        <f t="shared" si="2"/>
        <v>-3.3200000000000074</v>
      </c>
      <c r="J9" s="137">
        <f t="shared" si="3"/>
        <v>7.2499999999999929</v>
      </c>
    </row>
    <row r="10" spans="1:11" x14ac:dyDescent="0.2">
      <c r="A10" s="136">
        <v>40057.25</v>
      </c>
      <c r="B10" s="135">
        <v>69.47</v>
      </c>
      <c r="C10" s="135">
        <v>59.52</v>
      </c>
      <c r="D10" s="135">
        <v>-9.9499999999999993</v>
      </c>
      <c r="E10" s="137">
        <f t="shared" si="0"/>
        <v>-29.95</v>
      </c>
      <c r="F10" s="137">
        <f t="shared" si="1"/>
        <v>-25.95</v>
      </c>
      <c r="G10" s="135">
        <v>69.55</v>
      </c>
      <c r="H10" s="135">
        <v>63.67</v>
      </c>
      <c r="I10" s="135">
        <f t="shared" si="2"/>
        <v>-5.8799999999999955</v>
      </c>
      <c r="J10" s="137">
        <f t="shared" si="3"/>
        <v>4.0700000000000038</v>
      </c>
    </row>
    <row r="11" spans="1:11" x14ac:dyDescent="0.2">
      <c r="A11" s="136">
        <v>40087.25</v>
      </c>
      <c r="B11" s="135">
        <v>75.819999999999993</v>
      </c>
      <c r="C11" s="135">
        <v>65.290000000000006</v>
      </c>
      <c r="D11" s="135">
        <v>-10.53</v>
      </c>
      <c r="E11" s="137">
        <f t="shared" si="0"/>
        <v>-30.53</v>
      </c>
      <c r="F11" s="137">
        <f t="shared" si="1"/>
        <v>-26.53</v>
      </c>
      <c r="G11" s="135">
        <v>73.8</v>
      </c>
      <c r="H11" s="135">
        <v>67.650000000000006</v>
      </c>
      <c r="I11" s="135">
        <f t="shared" si="2"/>
        <v>-6.1499999999999915</v>
      </c>
      <c r="J11" s="137">
        <f t="shared" si="3"/>
        <v>4.3800000000000079</v>
      </c>
    </row>
    <row r="12" spans="1:11" x14ac:dyDescent="0.2">
      <c r="A12" s="136">
        <v>40118.25</v>
      </c>
      <c r="B12" s="135">
        <v>78.150000000000006</v>
      </c>
      <c r="C12" s="135">
        <v>65.040000000000006</v>
      </c>
      <c r="D12" s="135">
        <v>-13.11</v>
      </c>
      <c r="E12" s="137">
        <f t="shared" si="0"/>
        <v>-33.11</v>
      </c>
      <c r="F12" s="137">
        <f t="shared" si="1"/>
        <v>-29.11</v>
      </c>
      <c r="G12" s="135">
        <v>75.92</v>
      </c>
      <c r="H12" s="135">
        <v>71.58</v>
      </c>
      <c r="I12" s="135">
        <f t="shared" si="2"/>
        <v>-4.3400000000000034</v>
      </c>
      <c r="J12" s="137">
        <f t="shared" si="3"/>
        <v>8.769999999999996</v>
      </c>
    </row>
    <row r="13" spans="1:11" x14ac:dyDescent="0.2">
      <c r="A13" s="136">
        <v>40148.291666666664</v>
      </c>
      <c r="B13" s="135">
        <v>74.599999999999994</v>
      </c>
      <c r="C13" s="135">
        <v>61.89</v>
      </c>
      <c r="D13" s="135">
        <v>-12.71</v>
      </c>
      <c r="E13" s="137">
        <f t="shared" si="0"/>
        <v>-32.71</v>
      </c>
      <c r="F13" s="137">
        <f t="shared" si="1"/>
        <v>-28.71</v>
      </c>
      <c r="G13" s="135">
        <v>73.849999999999994</v>
      </c>
      <c r="H13" s="135">
        <v>68.510000000000005</v>
      </c>
      <c r="I13" s="135">
        <f t="shared" si="2"/>
        <v>-5.3399999999999892</v>
      </c>
      <c r="J13" s="137">
        <f t="shared" si="3"/>
        <v>7.3700000000000117</v>
      </c>
    </row>
    <row r="14" spans="1:11" x14ac:dyDescent="0.2">
      <c r="A14" s="136">
        <v>40179.291666666664</v>
      </c>
      <c r="B14" s="135">
        <v>78.400000000000006</v>
      </c>
      <c r="C14" s="135">
        <v>69.28</v>
      </c>
      <c r="D14" s="135">
        <v>-9.1199999999999992</v>
      </c>
      <c r="E14" s="137">
        <f t="shared" si="0"/>
        <v>-29.119999999999997</v>
      </c>
      <c r="F14" s="137">
        <f t="shared" si="1"/>
        <v>-25.119999999999997</v>
      </c>
      <c r="G14" s="135">
        <v>77.34</v>
      </c>
      <c r="H14" s="135">
        <v>71.37</v>
      </c>
      <c r="I14" s="135">
        <f t="shared" si="2"/>
        <v>-5.9699999999999989</v>
      </c>
      <c r="J14" s="137">
        <f t="shared" si="3"/>
        <v>3.1500000000000004</v>
      </c>
    </row>
    <row r="15" spans="1:11" x14ac:dyDescent="0.2">
      <c r="A15" s="136">
        <v>40210.291666666664</v>
      </c>
      <c r="B15" s="135">
        <v>76.45</v>
      </c>
      <c r="C15" s="135">
        <v>67.91</v>
      </c>
      <c r="D15" s="135">
        <v>-8.5399999999999991</v>
      </c>
      <c r="E15" s="137">
        <f t="shared" si="0"/>
        <v>-28.54</v>
      </c>
      <c r="F15" s="137">
        <f t="shared" si="1"/>
        <v>-24.54</v>
      </c>
      <c r="G15" s="135">
        <v>76.09</v>
      </c>
      <c r="H15" s="135">
        <v>68.05</v>
      </c>
      <c r="I15" s="135">
        <f t="shared" si="2"/>
        <v>-8.0400000000000063</v>
      </c>
      <c r="J15" s="137">
        <f t="shared" si="3"/>
        <v>0.49999999999999289</v>
      </c>
    </row>
    <row r="16" spans="1:11" x14ac:dyDescent="0.2">
      <c r="A16" s="136">
        <v>40238.291666666664</v>
      </c>
      <c r="B16" s="135">
        <v>81.290000000000006</v>
      </c>
      <c r="C16" s="135">
        <v>71.819999999999993</v>
      </c>
      <c r="D16" s="135">
        <v>-9.4700000000000006</v>
      </c>
      <c r="E16" s="137">
        <f t="shared" si="0"/>
        <v>-29.47</v>
      </c>
      <c r="F16" s="137">
        <f t="shared" si="1"/>
        <v>-25.47</v>
      </c>
      <c r="G16" s="135">
        <v>79.39</v>
      </c>
      <c r="H16" s="135">
        <v>70.349999999999994</v>
      </c>
      <c r="I16" s="135">
        <f t="shared" si="2"/>
        <v>-9.0400000000000063</v>
      </c>
      <c r="J16" s="137">
        <f t="shared" si="3"/>
        <v>0.42999999999999439</v>
      </c>
    </row>
    <row r="17" spans="1:16" x14ac:dyDescent="0.2">
      <c r="A17" s="136">
        <v>40269.25</v>
      </c>
      <c r="B17" s="135">
        <v>84.58</v>
      </c>
      <c r="C17" s="135">
        <v>72.02</v>
      </c>
      <c r="D17" s="135">
        <v>-12.56</v>
      </c>
      <c r="E17" s="137">
        <f t="shared" si="0"/>
        <v>-32.56</v>
      </c>
      <c r="F17" s="137">
        <f t="shared" si="1"/>
        <v>-28.560000000000002</v>
      </c>
      <c r="G17" s="135">
        <v>82.65</v>
      </c>
      <c r="H17" s="135">
        <v>73.13</v>
      </c>
      <c r="I17" s="135">
        <f t="shared" si="2"/>
        <v>-9.5200000000000102</v>
      </c>
      <c r="J17" s="137">
        <f t="shared" si="3"/>
        <v>3.0399999999999903</v>
      </c>
    </row>
    <row r="18" spans="1:16" x14ac:dyDescent="0.2">
      <c r="A18" s="136">
        <v>40299.25</v>
      </c>
      <c r="B18" s="135">
        <v>74.12</v>
      </c>
      <c r="C18" s="135">
        <v>57.49</v>
      </c>
      <c r="D18" s="135">
        <v>-16.63</v>
      </c>
      <c r="E18" s="137">
        <f t="shared" si="0"/>
        <v>-36.629999999999995</v>
      </c>
      <c r="F18" s="137">
        <f t="shared" si="1"/>
        <v>-32.629999999999995</v>
      </c>
      <c r="G18" s="135">
        <v>75.13</v>
      </c>
      <c r="H18" s="135">
        <v>66.27</v>
      </c>
      <c r="I18" s="135">
        <f t="shared" si="2"/>
        <v>-8.86</v>
      </c>
      <c r="J18" s="137">
        <f t="shared" si="3"/>
        <v>7.77</v>
      </c>
    </row>
    <row r="19" spans="1:16" x14ac:dyDescent="0.2">
      <c r="A19" s="136">
        <v>40330.25</v>
      </c>
      <c r="B19" s="135">
        <v>75.41</v>
      </c>
      <c r="C19" s="135">
        <v>62.33</v>
      </c>
      <c r="D19" s="135">
        <v>-13.08</v>
      </c>
      <c r="E19" s="137">
        <f t="shared" si="0"/>
        <v>-33.08</v>
      </c>
      <c r="F19" s="137">
        <f t="shared" si="1"/>
        <v>-29.08</v>
      </c>
      <c r="G19" s="135">
        <v>76.319999999999993</v>
      </c>
      <c r="H19" s="135">
        <v>65.37</v>
      </c>
      <c r="I19" s="135">
        <f t="shared" si="2"/>
        <v>-10.949999999999989</v>
      </c>
      <c r="J19" s="137">
        <f t="shared" si="3"/>
        <v>2.1300000000000114</v>
      </c>
    </row>
    <row r="20" spans="1:16" x14ac:dyDescent="0.2">
      <c r="A20" s="136">
        <v>40360.25</v>
      </c>
      <c r="B20" s="135">
        <v>76.38</v>
      </c>
      <c r="C20" s="135">
        <v>64.28</v>
      </c>
      <c r="D20" s="135">
        <v>-12.1</v>
      </c>
      <c r="E20" s="137">
        <f t="shared" si="0"/>
        <v>-32.1</v>
      </c>
      <c r="F20" s="137">
        <f t="shared" si="1"/>
        <v>-28.1</v>
      </c>
      <c r="G20" s="135">
        <v>76.569999999999993</v>
      </c>
      <c r="H20" s="135">
        <v>66.7</v>
      </c>
      <c r="I20" s="135">
        <f t="shared" si="2"/>
        <v>-9.8699999999999903</v>
      </c>
      <c r="J20" s="137">
        <f t="shared" si="3"/>
        <v>2.2300000000000093</v>
      </c>
    </row>
    <row r="21" spans="1:16" x14ac:dyDescent="0.2">
      <c r="A21" s="136">
        <v>40391.25</v>
      </c>
      <c r="B21" s="135">
        <v>76.67</v>
      </c>
      <c r="C21" s="135">
        <v>61.93</v>
      </c>
      <c r="D21" s="135">
        <v>-14.74</v>
      </c>
      <c r="E21" s="137">
        <f t="shared" si="0"/>
        <v>-34.74</v>
      </c>
      <c r="F21" s="137">
        <f t="shared" si="1"/>
        <v>-30.740000000000002</v>
      </c>
      <c r="G21" s="135">
        <v>76.92</v>
      </c>
      <c r="H21" s="135">
        <v>67.89</v>
      </c>
      <c r="I21" s="135">
        <f t="shared" si="2"/>
        <v>-9.0300000000000011</v>
      </c>
      <c r="J21" s="137">
        <f t="shared" si="3"/>
        <v>5.7099999999999991</v>
      </c>
    </row>
    <row r="22" spans="1:16" x14ac:dyDescent="0.2">
      <c r="A22" s="136">
        <v>40422.25</v>
      </c>
      <c r="B22" s="135">
        <v>75.55</v>
      </c>
      <c r="C22" s="135">
        <v>55.44</v>
      </c>
      <c r="D22" s="135">
        <v>-20.11</v>
      </c>
      <c r="E22" s="137">
        <f t="shared" si="0"/>
        <v>-40.11</v>
      </c>
      <c r="F22" s="137">
        <f t="shared" si="1"/>
        <v>-36.11</v>
      </c>
      <c r="G22" s="135">
        <v>76.06</v>
      </c>
      <c r="H22" s="135">
        <v>67.53</v>
      </c>
      <c r="I22" s="135">
        <f t="shared" si="2"/>
        <v>-8.5300000000000011</v>
      </c>
      <c r="J22" s="137">
        <f t="shared" si="3"/>
        <v>11.579999999999998</v>
      </c>
    </row>
    <row r="23" spans="1:16" x14ac:dyDescent="0.2">
      <c r="A23" s="136">
        <v>40452.25</v>
      </c>
      <c r="B23" s="135">
        <v>81.95</v>
      </c>
      <c r="C23" s="135">
        <v>56.72</v>
      </c>
      <c r="D23" s="135">
        <v>-25.23</v>
      </c>
      <c r="E23" s="137">
        <f t="shared" si="0"/>
        <v>-45.230000000000004</v>
      </c>
      <c r="F23" s="137">
        <f t="shared" si="1"/>
        <v>-41.230000000000004</v>
      </c>
      <c r="G23" s="135">
        <v>82.14</v>
      </c>
      <c r="H23" s="135">
        <v>72.430000000000007</v>
      </c>
      <c r="I23" s="135">
        <f t="shared" si="2"/>
        <v>-9.7099999999999937</v>
      </c>
      <c r="J23" s="137">
        <f t="shared" si="3"/>
        <v>15.520000000000007</v>
      </c>
    </row>
    <row r="24" spans="1:16" x14ac:dyDescent="0.2">
      <c r="A24" s="136">
        <v>40483.25</v>
      </c>
      <c r="B24" s="135">
        <v>84.32</v>
      </c>
      <c r="C24" s="135">
        <v>69.56</v>
      </c>
      <c r="D24" s="135">
        <v>-14.76</v>
      </c>
      <c r="E24" s="137">
        <f t="shared" si="0"/>
        <v>-34.76</v>
      </c>
      <c r="F24" s="137">
        <f t="shared" si="1"/>
        <v>-30.759999999999998</v>
      </c>
      <c r="G24" s="135">
        <v>84.01</v>
      </c>
      <c r="H24" s="135">
        <v>74.89</v>
      </c>
      <c r="I24" s="135">
        <f t="shared" si="2"/>
        <v>-9.1200000000000045</v>
      </c>
      <c r="J24" s="137">
        <f t="shared" si="3"/>
        <v>5.6399999999999952</v>
      </c>
    </row>
    <row r="25" spans="1:16" x14ac:dyDescent="0.2">
      <c r="A25" s="136">
        <v>40513.291666666664</v>
      </c>
      <c r="B25" s="135">
        <v>89.23</v>
      </c>
      <c r="C25" s="135">
        <v>74.89</v>
      </c>
      <c r="D25" s="135">
        <v>-14.34</v>
      </c>
      <c r="E25" s="137">
        <f t="shared" si="0"/>
        <v>-34.340000000000003</v>
      </c>
      <c r="F25" s="137">
        <f t="shared" si="1"/>
        <v>-30.34</v>
      </c>
      <c r="G25" s="135">
        <v>89.31</v>
      </c>
      <c r="H25" s="135">
        <v>79.209999999999994</v>
      </c>
      <c r="I25" s="135">
        <f t="shared" si="2"/>
        <v>-10.100000000000009</v>
      </c>
      <c r="J25" s="137">
        <f t="shared" si="3"/>
        <v>4.2399999999999913</v>
      </c>
    </row>
    <row r="26" spans="1:16" x14ac:dyDescent="0.2">
      <c r="A26" s="136">
        <v>40544.291666666664</v>
      </c>
      <c r="B26" s="135">
        <v>89.58</v>
      </c>
      <c r="C26" s="135">
        <v>71.180000000000007</v>
      </c>
      <c r="D26" s="135">
        <v>-18.399999999999999</v>
      </c>
      <c r="E26" s="137">
        <f t="shared" si="0"/>
        <v>-38.4</v>
      </c>
      <c r="F26" s="137">
        <f t="shared" si="1"/>
        <v>-34.4</v>
      </c>
      <c r="G26" s="135">
        <v>91.25</v>
      </c>
      <c r="H26" s="135">
        <v>81.66</v>
      </c>
      <c r="I26" s="135">
        <f t="shared" si="2"/>
        <v>-9.5900000000000034</v>
      </c>
      <c r="J26" s="137">
        <f t="shared" si="3"/>
        <v>8.8099999999999952</v>
      </c>
    </row>
    <row r="27" spans="1:16" x14ac:dyDescent="0.2">
      <c r="A27" s="136">
        <v>40575.291666666664</v>
      </c>
      <c r="B27" s="135">
        <v>89.74</v>
      </c>
      <c r="C27" s="135">
        <v>63.42</v>
      </c>
      <c r="D27" s="135">
        <v>-26.32</v>
      </c>
      <c r="E27" s="137">
        <f t="shared" si="0"/>
        <v>-46.32</v>
      </c>
      <c r="F27" s="137">
        <f t="shared" si="1"/>
        <v>-42.32</v>
      </c>
      <c r="G27" s="135">
        <v>93</v>
      </c>
      <c r="H27" s="135">
        <v>86.56</v>
      </c>
      <c r="I27" s="135">
        <f t="shared" si="2"/>
        <v>-6.4399999999999977</v>
      </c>
      <c r="J27" s="137">
        <f t="shared" si="3"/>
        <v>19.880000000000003</v>
      </c>
    </row>
    <row r="28" spans="1:16" x14ac:dyDescent="0.2">
      <c r="A28" s="136">
        <v>40603.291666666664</v>
      </c>
      <c r="B28" s="135">
        <v>102.98</v>
      </c>
      <c r="C28" s="135">
        <v>79.13</v>
      </c>
      <c r="D28" s="135">
        <v>-23.85</v>
      </c>
      <c r="E28" s="137">
        <f t="shared" si="0"/>
        <v>-43.85</v>
      </c>
      <c r="F28" s="137">
        <f t="shared" si="1"/>
        <v>-39.85</v>
      </c>
      <c r="G28" s="135">
        <v>111.27</v>
      </c>
      <c r="H28" s="135">
        <v>98.77</v>
      </c>
      <c r="I28" s="135">
        <f t="shared" si="2"/>
        <v>-12.5</v>
      </c>
      <c r="J28" s="137">
        <f t="shared" si="3"/>
        <v>11.350000000000001</v>
      </c>
    </row>
    <row r="29" spans="1:16" x14ac:dyDescent="0.2">
      <c r="A29" s="136">
        <v>40634.25</v>
      </c>
      <c r="B29" s="135">
        <v>110.04</v>
      </c>
      <c r="C29" s="135">
        <v>89.69</v>
      </c>
      <c r="D29" s="135">
        <v>-20.350000000000001</v>
      </c>
      <c r="E29" s="137">
        <f t="shared" si="0"/>
        <v>-40.35</v>
      </c>
      <c r="F29" s="137">
        <f t="shared" si="1"/>
        <v>-36.35</v>
      </c>
      <c r="G29" s="135">
        <v>119.68</v>
      </c>
      <c r="H29" s="135">
        <v>106.55</v>
      </c>
      <c r="I29" s="135">
        <f t="shared" si="2"/>
        <v>-13.13000000000001</v>
      </c>
      <c r="J29" s="137">
        <f t="shared" si="3"/>
        <v>7.2199999999999918</v>
      </c>
    </row>
    <row r="30" spans="1:16" x14ac:dyDescent="0.2">
      <c r="A30" s="136">
        <v>40664.25</v>
      </c>
      <c r="B30" s="135">
        <v>101.36</v>
      </c>
      <c r="C30" s="135">
        <v>85.66</v>
      </c>
      <c r="D30" s="135">
        <v>-15.7</v>
      </c>
      <c r="E30" s="137">
        <f t="shared" si="0"/>
        <v>-35.700000000000003</v>
      </c>
      <c r="F30" s="137">
        <f t="shared" si="1"/>
        <v>-31.7</v>
      </c>
      <c r="G30" s="135">
        <v>115.11</v>
      </c>
      <c r="H30" s="135">
        <v>101.56</v>
      </c>
      <c r="I30" s="135">
        <f t="shared" si="2"/>
        <v>-13.549999999999997</v>
      </c>
      <c r="J30" s="137">
        <f t="shared" si="3"/>
        <v>2.1500000000000021</v>
      </c>
    </row>
    <row r="31" spans="1:16" ht="15.75" x14ac:dyDescent="0.25">
      <c r="A31" s="136">
        <v>40695.25</v>
      </c>
      <c r="B31" s="135">
        <v>96.29</v>
      </c>
      <c r="C31" s="135">
        <v>79.42</v>
      </c>
      <c r="D31" s="135">
        <v>-16.87</v>
      </c>
      <c r="E31" s="137">
        <f t="shared" si="0"/>
        <v>-36.870000000000005</v>
      </c>
      <c r="F31" s="137">
        <f t="shared" si="1"/>
        <v>-32.870000000000005</v>
      </c>
      <c r="G31" s="135">
        <v>109.07</v>
      </c>
      <c r="H31" s="135">
        <v>101.11</v>
      </c>
      <c r="I31" s="135">
        <f t="shared" si="2"/>
        <v>-7.9599999999999937</v>
      </c>
      <c r="J31" s="137">
        <f t="shared" si="3"/>
        <v>8.9100000000000072</v>
      </c>
      <c r="N31" s="138" t="s">
        <v>459</v>
      </c>
      <c r="O31" s="138" t="s">
        <v>460</v>
      </c>
      <c r="P31" s="138"/>
    </row>
    <row r="32" spans="1:16" x14ac:dyDescent="0.2">
      <c r="A32" s="136">
        <v>40725.25</v>
      </c>
      <c r="B32" s="135">
        <v>97.34</v>
      </c>
      <c r="C32" s="135">
        <v>78.31</v>
      </c>
      <c r="D32" s="135">
        <v>-19.03</v>
      </c>
      <c r="E32" s="137">
        <f t="shared" si="0"/>
        <v>-39.03</v>
      </c>
      <c r="F32" s="137">
        <f t="shared" si="1"/>
        <v>-35.03</v>
      </c>
      <c r="G32" s="135">
        <v>111.02</v>
      </c>
      <c r="H32" s="135">
        <v>102.47</v>
      </c>
      <c r="I32" s="135">
        <f t="shared" si="2"/>
        <v>-8.5499999999999972</v>
      </c>
      <c r="J32" s="137">
        <f t="shared" si="3"/>
        <v>10.480000000000004</v>
      </c>
      <c r="N32" s="135">
        <v>20</v>
      </c>
      <c r="O32" s="135">
        <v>16</v>
      </c>
    </row>
    <row r="33" spans="1:10" x14ac:dyDescent="0.2">
      <c r="A33" s="136">
        <v>40756.25</v>
      </c>
      <c r="B33" s="135">
        <v>86.34</v>
      </c>
      <c r="C33" s="135">
        <v>66.510000000000005</v>
      </c>
      <c r="D33" s="135">
        <v>-19.829999999999998</v>
      </c>
      <c r="E33" s="137">
        <f t="shared" si="0"/>
        <v>-39.83</v>
      </c>
      <c r="F33" s="137">
        <f t="shared" si="1"/>
        <v>-35.83</v>
      </c>
      <c r="G33" s="135">
        <v>100.91</v>
      </c>
      <c r="H33" s="135">
        <v>95.89</v>
      </c>
      <c r="I33" s="135">
        <f t="shared" si="2"/>
        <v>-5.019999999999996</v>
      </c>
      <c r="J33" s="137">
        <f t="shared" si="3"/>
        <v>14.810000000000002</v>
      </c>
    </row>
    <row r="34" spans="1:10" x14ac:dyDescent="0.2">
      <c r="A34" s="136">
        <v>40787.25</v>
      </c>
      <c r="B34" s="135">
        <v>85.61</v>
      </c>
      <c r="C34" s="135">
        <v>71.599999999999994</v>
      </c>
      <c r="D34" s="135">
        <v>-14.01</v>
      </c>
      <c r="E34" s="137">
        <f t="shared" si="0"/>
        <v>-34.01</v>
      </c>
      <c r="F34" s="137">
        <f t="shared" si="1"/>
        <v>-30.009999999999998</v>
      </c>
      <c r="G34" s="135">
        <v>101.62</v>
      </c>
      <c r="H34" s="135">
        <v>97.25</v>
      </c>
      <c r="I34" s="135">
        <f t="shared" si="2"/>
        <v>-4.3700000000000045</v>
      </c>
      <c r="J34" s="137">
        <f t="shared" si="3"/>
        <v>9.6399999999999952</v>
      </c>
    </row>
    <row r="35" spans="1:10" x14ac:dyDescent="0.2">
      <c r="A35" s="136">
        <v>40817.25</v>
      </c>
      <c r="B35" s="135">
        <v>86.43</v>
      </c>
      <c r="C35" s="135">
        <v>76.540000000000006</v>
      </c>
      <c r="D35" s="135">
        <v>-9.89</v>
      </c>
      <c r="E35" s="137">
        <f t="shared" si="0"/>
        <v>-29.89</v>
      </c>
      <c r="F35" s="137">
        <f t="shared" si="1"/>
        <v>-25.89</v>
      </c>
      <c r="G35" s="135">
        <v>110.72</v>
      </c>
      <c r="H35" s="135">
        <v>99.59</v>
      </c>
      <c r="I35" s="135">
        <f t="shared" si="2"/>
        <v>-11.129999999999995</v>
      </c>
      <c r="J35" s="137">
        <f t="shared" si="3"/>
        <v>-1.2399999999999949</v>
      </c>
    </row>
    <row r="36" spans="1:10" x14ac:dyDescent="0.2">
      <c r="A36" s="136">
        <v>40848.25</v>
      </c>
      <c r="B36" s="135">
        <v>97.16</v>
      </c>
      <c r="C36" s="135">
        <v>87.32</v>
      </c>
      <c r="D36" s="135">
        <v>-9.84</v>
      </c>
      <c r="E36" s="137">
        <f t="shared" si="0"/>
        <v>-29.84</v>
      </c>
      <c r="F36" s="137">
        <f t="shared" si="1"/>
        <v>-25.84</v>
      </c>
      <c r="G36" s="135">
        <v>119.27</v>
      </c>
      <c r="H36" s="135">
        <v>105.99</v>
      </c>
      <c r="I36" s="135">
        <f t="shared" si="2"/>
        <v>-13.280000000000001</v>
      </c>
      <c r="J36" s="137">
        <f t="shared" si="3"/>
        <v>-3.4400000000000013</v>
      </c>
    </row>
    <row r="37" spans="1:10" x14ac:dyDescent="0.2">
      <c r="A37" s="136">
        <v>40878.291666666664</v>
      </c>
      <c r="B37" s="135">
        <v>98.58</v>
      </c>
      <c r="C37" s="135">
        <v>86.86</v>
      </c>
      <c r="D37" s="135">
        <v>-11.72</v>
      </c>
      <c r="E37" s="137">
        <f t="shared" si="0"/>
        <v>-31.72</v>
      </c>
      <c r="F37" s="137">
        <f t="shared" si="1"/>
        <v>-27.72</v>
      </c>
      <c r="G37" s="135">
        <v>113.44</v>
      </c>
      <c r="H37" s="135">
        <v>104.34</v>
      </c>
      <c r="I37" s="135">
        <f t="shared" si="2"/>
        <v>-9.0999999999999943</v>
      </c>
      <c r="J37" s="137">
        <f t="shared" si="3"/>
        <v>2.6200000000000063</v>
      </c>
    </row>
    <row r="38" spans="1:10" x14ac:dyDescent="0.2">
      <c r="A38" s="136">
        <v>40909.291666666664</v>
      </c>
      <c r="B38" s="135">
        <v>100.32</v>
      </c>
      <c r="C38" s="135">
        <v>86.47</v>
      </c>
      <c r="D38" s="135">
        <v>-13.85</v>
      </c>
      <c r="E38" s="137">
        <f t="shared" si="0"/>
        <v>-33.85</v>
      </c>
      <c r="F38" s="137">
        <f t="shared" si="1"/>
        <v>-29.85</v>
      </c>
      <c r="G38" s="135">
        <v>108.1</v>
      </c>
      <c r="H38" s="135">
        <v>105.91</v>
      </c>
      <c r="I38" s="135">
        <f t="shared" si="2"/>
        <v>-2.1899999999999977</v>
      </c>
      <c r="J38" s="137">
        <f t="shared" si="3"/>
        <v>11.660000000000002</v>
      </c>
    </row>
    <row r="39" spans="1:10" x14ac:dyDescent="0.2">
      <c r="A39" s="136">
        <v>40940.291666666664</v>
      </c>
      <c r="B39" s="135">
        <v>102.26</v>
      </c>
      <c r="C39" s="135">
        <v>83.04</v>
      </c>
      <c r="D39" s="135">
        <v>-19.22</v>
      </c>
      <c r="E39" s="137">
        <f t="shared" si="0"/>
        <v>-39.22</v>
      </c>
      <c r="F39" s="137">
        <f t="shared" si="1"/>
        <v>-35.22</v>
      </c>
      <c r="G39" s="135">
        <v>110.65</v>
      </c>
      <c r="H39" s="135">
        <v>108.59</v>
      </c>
      <c r="I39" s="135">
        <f t="shared" si="2"/>
        <v>-2.0600000000000023</v>
      </c>
      <c r="J39" s="137">
        <f t="shared" si="3"/>
        <v>17.159999999999997</v>
      </c>
    </row>
    <row r="40" spans="1:10" x14ac:dyDescent="0.2">
      <c r="A40" s="136">
        <v>40969.291666666664</v>
      </c>
      <c r="B40" s="135">
        <v>106.21</v>
      </c>
      <c r="C40" s="135">
        <v>75.010000000000005</v>
      </c>
      <c r="D40" s="135">
        <v>-31.2</v>
      </c>
      <c r="E40" s="137">
        <f t="shared" si="0"/>
        <v>-51.2</v>
      </c>
      <c r="F40" s="137">
        <f t="shared" si="1"/>
        <v>-47.2</v>
      </c>
      <c r="G40" s="135">
        <v>119.61</v>
      </c>
      <c r="H40" s="135">
        <v>111.9</v>
      </c>
      <c r="I40" s="135">
        <f t="shared" si="2"/>
        <v>-7.7099999999999937</v>
      </c>
      <c r="J40" s="137">
        <f t="shared" si="3"/>
        <v>23.490000000000006</v>
      </c>
    </row>
    <row r="41" spans="1:10" x14ac:dyDescent="0.2">
      <c r="A41" s="136">
        <v>41000.25</v>
      </c>
      <c r="B41" s="135">
        <v>103.35</v>
      </c>
      <c r="C41" s="135">
        <v>70.400000000000006</v>
      </c>
      <c r="D41" s="135">
        <v>-32.950000000000003</v>
      </c>
      <c r="E41" s="137">
        <f t="shared" si="0"/>
        <v>-52.95</v>
      </c>
      <c r="F41" s="137">
        <f t="shared" si="1"/>
        <v>-48.95</v>
      </c>
      <c r="G41" s="135">
        <v>120.56</v>
      </c>
      <c r="H41" s="135">
        <v>108.63</v>
      </c>
      <c r="I41" s="135">
        <f t="shared" si="2"/>
        <v>-11.930000000000007</v>
      </c>
      <c r="J41" s="137">
        <f t="shared" si="3"/>
        <v>21.019999999999996</v>
      </c>
    </row>
    <row r="42" spans="1:10" x14ac:dyDescent="0.2">
      <c r="A42" s="136">
        <v>41030.25</v>
      </c>
      <c r="B42" s="135">
        <v>94.72</v>
      </c>
      <c r="C42" s="135">
        <v>75.099999999999994</v>
      </c>
      <c r="D42" s="135">
        <v>-19.62</v>
      </c>
      <c r="E42" s="137">
        <f t="shared" si="0"/>
        <v>-39.620000000000005</v>
      </c>
      <c r="F42" s="137">
        <f t="shared" si="1"/>
        <v>-35.620000000000005</v>
      </c>
      <c r="G42" s="135">
        <v>112.02</v>
      </c>
      <c r="H42" s="135">
        <v>101.32</v>
      </c>
      <c r="I42" s="135">
        <f t="shared" si="2"/>
        <v>-10.700000000000003</v>
      </c>
      <c r="J42" s="137">
        <f t="shared" si="3"/>
        <v>8.9199999999999982</v>
      </c>
    </row>
    <row r="43" spans="1:10" x14ac:dyDescent="0.2">
      <c r="A43" s="136">
        <v>41061.25</v>
      </c>
      <c r="B43" s="135">
        <v>82.41</v>
      </c>
      <c r="C43" s="135">
        <v>66.37</v>
      </c>
      <c r="D43" s="135">
        <v>-16.04</v>
      </c>
      <c r="E43" s="137">
        <f t="shared" si="0"/>
        <v>-36.04</v>
      </c>
      <c r="F43" s="137">
        <f t="shared" si="1"/>
        <v>-32.04</v>
      </c>
      <c r="G43" s="135">
        <v>95.29</v>
      </c>
      <c r="H43" s="135">
        <v>88.42</v>
      </c>
      <c r="I43" s="135">
        <f t="shared" si="2"/>
        <v>-6.8700000000000045</v>
      </c>
      <c r="J43" s="137">
        <f t="shared" si="3"/>
        <v>9.1699999999999946</v>
      </c>
    </row>
    <row r="44" spans="1:10" x14ac:dyDescent="0.2">
      <c r="A44" s="136">
        <v>41091.25</v>
      </c>
      <c r="B44" s="135">
        <v>87.93</v>
      </c>
      <c r="C44" s="135">
        <v>64.28</v>
      </c>
      <c r="D44" s="135">
        <v>-23.65</v>
      </c>
      <c r="E44" s="137">
        <f t="shared" si="0"/>
        <v>-43.65</v>
      </c>
      <c r="F44" s="137">
        <f t="shared" si="1"/>
        <v>-39.65</v>
      </c>
      <c r="G44" s="135">
        <v>95.46</v>
      </c>
      <c r="H44" s="135">
        <v>92.95</v>
      </c>
      <c r="I44" s="135">
        <f t="shared" si="2"/>
        <v>-2.5099999999999909</v>
      </c>
      <c r="J44" s="137">
        <f t="shared" si="3"/>
        <v>21.140000000000008</v>
      </c>
    </row>
    <row r="45" spans="1:10" x14ac:dyDescent="0.2">
      <c r="A45" s="136">
        <v>41122.25</v>
      </c>
      <c r="B45" s="135">
        <v>94.16</v>
      </c>
      <c r="C45" s="135">
        <v>69.03</v>
      </c>
      <c r="D45" s="135">
        <v>-25.13</v>
      </c>
      <c r="E45" s="137">
        <f t="shared" si="0"/>
        <v>-45.129999999999995</v>
      </c>
      <c r="F45" s="137">
        <f t="shared" si="1"/>
        <v>-41.129999999999995</v>
      </c>
      <c r="G45" s="135">
        <v>99.53</v>
      </c>
      <c r="H45" s="135">
        <v>99</v>
      </c>
      <c r="I45" s="135">
        <f t="shared" si="2"/>
        <v>-0.53000000000000114</v>
      </c>
      <c r="J45" s="137">
        <f t="shared" si="3"/>
        <v>24.599999999999998</v>
      </c>
    </row>
    <row r="46" spans="1:10" x14ac:dyDescent="0.2">
      <c r="A46" s="136">
        <v>41153.25</v>
      </c>
      <c r="B46" s="135">
        <v>94.56</v>
      </c>
      <c r="C46" s="135">
        <v>78.17</v>
      </c>
      <c r="D46" s="135">
        <v>-16.39</v>
      </c>
      <c r="E46" s="137">
        <f t="shared" si="0"/>
        <v>-36.39</v>
      </c>
      <c r="F46" s="137">
        <f t="shared" si="1"/>
        <v>-32.39</v>
      </c>
      <c r="G46" s="135">
        <v>109.45</v>
      </c>
      <c r="H46" s="135">
        <v>100.83</v>
      </c>
      <c r="I46" s="135">
        <f t="shared" si="2"/>
        <v>-8.6200000000000045</v>
      </c>
      <c r="J46" s="137">
        <f t="shared" si="3"/>
        <v>7.769999999999996</v>
      </c>
    </row>
    <row r="47" spans="1:10" x14ac:dyDescent="0.2">
      <c r="A47" s="136">
        <v>41183.25</v>
      </c>
      <c r="B47" s="135">
        <v>89.57</v>
      </c>
      <c r="C47" s="135">
        <v>79.88</v>
      </c>
      <c r="D47" s="135">
        <v>-9.69</v>
      </c>
      <c r="E47" s="137">
        <f t="shared" si="0"/>
        <v>-29.689999999999998</v>
      </c>
      <c r="F47" s="137">
        <f t="shared" si="1"/>
        <v>-25.689999999999998</v>
      </c>
      <c r="G47" s="135">
        <v>104.9</v>
      </c>
      <c r="H47" s="135">
        <v>96.83</v>
      </c>
      <c r="I47" s="135">
        <f t="shared" si="2"/>
        <v>-8.0700000000000074</v>
      </c>
      <c r="J47" s="137">
        <f t="shared" si="3"/>
        <v>1.6199999999999921</v>
      </c>
    </row>
    <row r="48" spans="1:10" x14ac:dyDescent="0.2">
      <c r="A48" s="136">
        <v>41214.25</v>
      </c>
      <c r="B48" s="135">
        <v>86.73</v>
      </c>
      <c r="C48" s="135">
        <v>72.47</v>
      </c>
      <c r="D48" s="135">
        <v>-14.26</v>
      </c>
      <c r="E48" s="137">
        <f t="shared" si="0"/>
        <v>-34.26</v>
      </c>
      <c r="F48" s="137">
        <f t="shared" si="1"/>
        <v>-30.259999999999998</v>
      </c>
      <c r="G48" s="135">
        <v>104.2</v>
      </c>
      <c r="H48" s="135">
        <v>91.1</v>
      </c>
      <c r="I48" s="135">
        <f t="shared" si="2"/>
        <v>-13.100000000000009</v>
      </c>
      <c r="J48" s="137">
        <f t="shared" si="3"/>
        <v>1.1599999999999913</v>
      </c>
    </row>
    <row r="49" spans="1:10" x14ac:dyDescent="0.2">
      <c r="A49" s="136">
        <v>41244.291666666664</v>
      </c>
      <c r="B49" s="135">
        <v>88.25</v>
      </c>
      <c r="C49" s="135">
        <v>57.87</v>
      </c>
      <c r="D49" s="135">
        <v>-30.38</v>
      </c>
      <c r="E49" s="137">
        <f t="shared" si="0"/>
        <v>-50.379999999999995</v>
      </c>
      <c r="F49" s="137">
        <f t="shared" si="1"/>
        <v>-46.379999999999995</v>
      </c>
      <c r="G49" s="135">
        <v>106.5</v>
      </c>
      <c r="H49" s="135">
        <v>91.42</v>
      </c>
      <c r="I49" s="135">
        <f t="shared" si="2"/>
        <v>-15.079999999999998</v>
      </c>
      <c r="J49" s="137">
        <f t="shared" si="3"/>
        <v>15.3</v>
      </c>
    </row>
    <row r="50" spans="1:10" x14ac:dyDescent="0.2">
      <c r="A50" s="136">
        <v>41275.291666666664</v>
      </c>
      <c r="B50" s="135">
        <v>94.83</v>
      </c>
      <c r="C50" s="135">
        <v>62.11</v>
      </c>
      <c r="D50" s="135">
        <v>-32.72</v>
      </c>
      <c r="E50" s="137">
        <f t="shared" si="0"/>
        <v>-52.72</v>
      </c>
      <c r="F50" s="137">
        <f t="shared" si="1"/>
        <v>-48.72</v>
      </c>
      <c r="G50" s="135">
        <v>112.63</v>
      </c>
      <c r="H50" s="135">
        <v>97.42</v>
      </c>
      <c r="I50" s="135">
        <f t="shared" si="2"/>
        <v>-15.209999999999994</v>
      </c>
      <c r="J50" s="137">
        <f t="shared" si="3"/>
        <v>17.510000000000005</v>
      </c>
    </row>
    <row r="51" spans="1:10" x14ac:dyDescent="0.2">
      <c r="A51" s="136">
        <v>41306.291666666664</v>
      </c>
      <c r="B51" s="135">
        <v>95.32</v>
      </c>
      <c r="C51" s="135">
        <v>58.4</v>
      </c>
      <c r="D51" s="135">
        <v>-36.92</v>
      </c>
      <c r="E51" s="137">
        <f t="shared" si="0"/>
        <v>-56.92</v>
      </c>
      <c r="F51" s="137">
        <f t="shared" si="1"/>
        <v>-52.92</v>
      </c>
      <c r="G51" s="135">
        <v>109.97</v>
      </c>
      <c r="H51" s="135">
        <v>106.36</v>
      </c>
      <c r="I51" s="135">
        <f t="shared" si="2"/>
        <v>-3.6099999999999994</v>
      </c>
      <c r="J51" s="137">
        <f t="shared" si="3"/>
        <v>33.31</v>
      </c>
    </row>
    <row r="52" spans="1:10" x14ac:dyDescent="0.2">
      <c r="A52" s="136">
        <v>41334.291666666664</v>
      </c>
      <c r="B52" s="135">
        <v>92.96</v>
      </c>
      <c r="C52" s="135">
        <v>66.72</v>
      </c>
      <c r="D52" s="135">
        <v>-26.24</v>
      </c>
      <c r="E52" s="137">
        <f t="shared" si="0"/>
        <v>-46.239999999999995</v>
      </c>
      <c r="F52" s="137">
        <f t="shared" si="1"/>
        <v>-42.239999999999995</v>
      </c>
      <c r="G52" s="135">
        <v>110.22</v>
      </c>
      <c r="H52" s="135">
        <v>103.49</v>
      </c>
      <c r="I52" s="135">
        <f t="shared" si="2"/>
        <v>-6.730000000000004</v>
      </c>
      <c r="J52" s="137">
        <f t="shared" si="3"/>
        <v>19.509999999999994</v>
      </c>
    </row>
    <row r="53" spans="1:10" x14ac:dyDescent="0.2">
      <c r="A53" s="136">
        <v>41365.25</v>
      </c>
      <c r="B53" s="135">
        <v>92.07</v>
      </c>
      <c r="C53" s="135">
        <v>68.87</v>
      </c>
      <c r="D53" s="135">
        <v>-23.2</v>
      </c>
      <c r="E53" s="137">
        <f t="shared" si="0"/>
        <v>-43.2</v>
      </c>
      <c r="F53" s="137">
        <f t="shared" si="1"/>
        <v>-39.200000000000003</v>
      </c>
      <c r="G53" s="135">
        <v>109.53</v>
      </c>
      <c r="H53" s="135">
        <v>98.78</v>
      </c>
      <c r="I53" s="135">
        <f t="shared" si="2"/>
        <v>-10.75</v>
      </c>
      <c r="J53" s="137">
        <f t="shared" si="3"/>
        <v>12.45</v>
      </c>
    </row>
    <row r="54" spans="1:10" x14ac:dyDescent="0.2">
      <c r="A54" s="136">
        <v>41395.25</v>
      </c>
      <c r="B54" s="135">
        <v>94.8</v>
      </c>
      <c r="C54" s="135">
        <v>80.930000000000007</v>
      </c>
      <c r="D54" s="135">
        <v>-13.87</v>
      </c>
      <c r="E54" s="137">
        <f t="shared" si="0"/>
        <v>-33.869999999999997</v>
      </c>
      <c r="F54" s="137">
        <f t="shared" si="1"/>
        <v>-29.869999999999997</v>
      </c>
      <c r="G54" s="135">
        <v>105.98</v>
      </c>
      <c r="H54" s="135">
        <v>98.24</v>
      </c>
      <c r="I54" s="135">
        <f t="shared" si="2"/>
        <v>-7.7400000000000091</v>
      </c>
      <c r="J54" s="137">
        <f t="shared" si="3"/>
        <v>6.1299999999999901</v>
      </c>
    </row>
    <row r="55" spans="1:10" x14ac:dyDescent="0.2">
      <c r="A55" s="136">
        <v>41426.25</v>
      </c>
      <c r="B55" s="135">
        <v>95.8</v>
      </c>
      <c r="C55" s="135">
        <v>75.39</v>
      </c>
      <c r="D55" s="135">
        <v>-20.41</v>
      </c>
      <c r="E55" s="137">
        <f t="shared" si="0"/>
        <v>-40.409999999999997</v>
      </c>
      <c r="F55" s="137">
        <f t="shared" si="1"/>
        <v>-36.409999999999997</v>
      </c>
      <c r="G55" s="135">
        <v>102.86</v>
      </c>
      <c r="H55" s="135">
        <v>96.26</v>
      </c>
      <c r="I55" s="135">
        <f t="shared" si="2"/>
        <v>-6.5999999999999943</v>
      </c>
      <c r="J55" s="137">
        <f t="shared" si="3"/>
        <v>13.810000000000006</v>
      </c>
    </row>
    <row r="56" spans="1:10" x14ac:dyDescent="0.2">
      <c r="A56" s="136">
        <v>41456.25</v>
      </c>
      <c r="B56" s="135">
        <v>104.7</v>
      </c>
      <c r="C56" s="135">
        <v>90.5</v>
      </c>
      <c r="D56" s="135">
        <v>-14.2</v>
      </c>
      <c r="E56" s="137">
        <f t="shared" si="0"/>
        <v>-34.200000000000003</v>
      </c>
      <c r="F56" s="137">
        <f t="shared" si="1"/>
        <v>-30.2</v>
      </c>
      <c r="G56" s="135">
        <v>110.44</v>
      </c>
      <c r="H56" s="135">
        <v>99.63</v>
      </c>
      <c r="I56" s="135">
        <f t="shared" si="2"/>
        <v>-10.810000000000002</v>
      </c>
      <c r="J56" s="137">
        <f t="shared" si="3"/>
        <v>3.389999999999997</v>
      </c>
    </row>
    <row r="57" spans="1:10" x14ac:dyDescent="0.2">
      <c r="A57" s="136">
        <v>41487.25</v>
      </c>
      <c r="B57" s="135">
        <v>106.54</v>
      </c>
      <c r="C57" s="135">
        <v>90.97</v>
      </c>
      <c r="D57" s="135">
        <v>-15.57</v>
      </c>
      <c r="E57" s="137">
        <f t="shared" si="0"/>
        <v>-35.57</v>
      </c>
      <c r="F57" s="137">
        <f t="shared" si="1"/>
        <v>-31.57</v>
      </c>
      <c r="G57" s="135">
        <v>110.74</v>
      </c>
      <c r="H57" s="135">
        <v>99.74</v>
      </c>
      <c r="I57" s="135">
        <f t="shared" si="2"/>
        <v>-11</v>
      </c>
      <c r="J57" s="137">
        <f t="shared" si="3"/>
        <v>4.57</v>
      </c>
    </row>
    <row r="58" spans="1:10" x14ac:dyDescent="0.2">
      <c r="A58" s="136">
        <v>41518.25</v>
      </c>
      <c r="B58" s="135">
        <v>106.24</v>
      </c>
      <c r="C58" s="135">
        <v>83.57</v>
      </c>
      <c r="D58" s="135">
        <v>-22.67</v>
      </c>
      <c r="E58" s="137">
        <f t="shared" si="0"/>
        <v>-42.67</v>
      </c>
      <c r="F58" s="137">
        <f t="shared" si="1"/>
        <v>-38.67</v>
      </c>
      <c r="G58" s="135">
        <v>109.81</v>
      </c>
      <c r="H58" s="135">
        <v>98.96</v>
      </c>
      <c r="I58" s="135">
        <f t="shared" si="2"/>
        <v>-10.850000000000009</v>
      </c>
      <c r="J58" s="137">
        <f t="shared" si="3"/>
        <v>11.819999999999993</v>
      </c>
    </row>
    <row r="59" spans="1:10" x14ac:dyDescent="0.2">
      <c r="A59" s="136">
        <v>41548.25</v>
      </c>
      <c r="B59" s="135">
        <v>100.55</v>
      </c>
      <c r="C59" s="135">
        <v>74.209999999999994</v>
      </c>
      <c r="D59" s="135">
        <v>-26.34</v>
      </c>
      <c r="E59" s="137">
        <f t="shared" si="0"/>
        <v>-46.34</v>
      </c>
      <c r="F59" s="137">
        <f t="shared" si="1"/>
        <v>-42.34</v>
      </c>
      <c r="G59" s="135">
        <v>100.97</v>
      </c>
      <c r="H59" s="135">
        <v>92.67</v>
      </c>
      <c r="I59" s="135">
        <f t="shared" si="2"/>
        <v>-8.2999999999999972</v>
      </c>
      <c r="J59" s="137">
        <f t="shared" si="3"/>
        <v>18.040000000000003</v>
      </c>
    </row>
    <row r="60" spans="1:10" x14ac:dyDescent="0.2">
      <c r="A60" s="136">
        <v>41579.25</v>
      </c>
      <c r="B60" s="135">
        <v>93.93</v>
      </c>
      <c r="C60" s="135">
        <v>62.62</v>
      </c>
      <c r="D60" s="135">
        <v>-31.31</v>
      </c>
      <c r="E60" s="137">
        <f t="shared" si="0"/>
        <v>-51.31</v>
      </c>
      <c r="F60" s="137">
        <f t="shared" si="1"/>
        <v>-47.31</v>
      </c>
      <c r="G60" s="135">
        <v>94.14</v>
      </c>
      <c r="H60" s="135">
        <v>87.02</v>
      </c>
      <c r="I60" s="135">
        <f t="shared" si="2"/>
        <v>-7.1200000000000045</v>
      </c>
      <c r="J60" s="137">
        <f t="shared" si="3"/>
        <v>24.189999999999994</v>
      </c>
    </row>
    <row r="61" spans="1:10" x14ac:dyDescent="0.2">
      <c r="A61" s="136">
        <v>41609.291666666664</v>
      </c>
      <c r="B61" s="135">
        <v>97.89</v>
      </c>
      <c r="C61" s="135">
        <v>58.95</v>
      </c>
      <c r="D61" s="135">
        <v>-38.94</v>
      </c>
      <c r="E61" s="137">
        <f t="shared" si="0"/>
        <v>-58.94</v>
      </c>
      <c r="F61" s="137">
        <f t="shared" si="1"/>
        <v>-54.94</v>
      </c>
      <c r="G61" s="135">
        <v>97.01</v>
      </c>
      <c r="H61" s="135">
        <v>88.47</v>
      </c>
      <c r="I61" s="135">
        <f t="shared" si="2"/>
        <v>-8.5400000000000063</v>
      </c>
      <c r="J61" s="137">
        <f t="shared" si="3"/>
        <v>30.399999999999991</v>
      </c>
    </row>
    <row r="62" spans="1:10" x14ac:dyDescent="0.2">
      <c r="A62" s="136">
        <v>41640.291666666664</v>
      </c>
      <c r="B62" s="135">
        <v>94.86</v>
      </c>
      <c r="C62" s="135">
        <v>65.69</v>
      </c>
      <c r="D62" s="135">
        <v>-29.17</v>
      </c>
      <c r="E62" s="137">
        <f t="shared" si="0"/>
        <v>-49.17</v>
      </c>
      <c r="F62" s="137">
        <f t="shared" si="1"/>
        <v>-45.17</v>
      </c>
      <c r="G62" s="135">
        <v>89.39</v>
      </c>
      <c r="H62" s="135">
        <v>87.17</v>
      </c>
      <c r="I62" s="135">
        <f t="shared" si="2"/>
        <v>-2.2199999999999989</v>
      </c>
      <c r="J62" s="137">
        <f t="shared" si="3"/>
        <v>26.950000000000003</v>
      </c>
    </row>
    <row r="63" spans="1:10" x14ac:dyDescent="0.2">
      <c r="A63" s="136">
        <v>41671.291666666664</v>
      </c>
      <c r="B63" s="135">
        <v>100.68</v>
      </c>
      <c r="C63" s="135">
        <v>81.540000000000006</v>
      </c>
      <c r="D63" s="135">
        <v>-19.14</v>
      </c>
      <c r="E63" s="137">
        <f t="shared" si="0"/>
        <v>-39.14</v>
      </c>
      <c r="F63" s="137">
        <f t="shared" si="1"/>
        <v>-35.14</v>
      </c>
      <c r="G63" s="135">
        <v>104.77</v>
      </c>
      <c r="H63" s="135">
        <v>90.01</v>
      </c>
      <c r="I63" s="135">
        <f t="shared" si="2"/>
        <v>-14.759999999999991</v>
      </c>
      <c r="J63" s="137">
        <f t="shared" si="3"/>
        <v>4.3800000000000097</v>
      </c>
    </row>
    <row r="64" spans="1:10" x14ac:dyDescent="0.2">
      <c r="A64" s="136">
        <v>41699.291666666664</v>
      </c>
      <c r="B64" s="135">
        <v>100.51</v>
      </c>
      <c r="C64" s="135">
        <v>79.42</v>
      </c>
      <c r="D64" s="135">
        <v>-21.09</v>
      </c>
      <c r="E64" s="137">
        <f t="shared" si="0"/>
        <v>-41.09</v>
      </c>
      <c r="F64" s="137">
        <f t="shared" si="1"/>
        <v>-37.090000000000003</v>
      </c>
      <c r="G64" s="135">
        <v>103.07</v>
      </c>
      <c r="H64" s="135">
        <v>90.13</v>
      </c>
      <c r="I64" s="135">
        <f t="shared" si="2"/>
        <v>-12.939999999999998</v>
      </c>
      <c r="J64" s="137">
        <f t="shared" si="3"/>
        <v>8.1500000000000021</v>
      </c>
    </row>
    <row r="65" spans="1:10" x14ac:dyDescent="0.2">
      <c r="A65" s="136">
        <v>41730.25</v>
      </c>
      <c r="B65" s="135">
        <v>102.04</v>
      </c>
      <c r="C65" s="135">
        <v>79.56</v>
      </c>
      <c r="D65" s="135">
        <v>-22.48</v>
      </c>
      <c r="E65" s="137">
        <f t="shared" si="0"/>
        <v>-42.480000000000004</v>
      </c>
      <c r="F65" s="137">
        <f t="shared" si="1"/>
        <v>-38.480000000000004</v>
      </c>
      <c r="G65" s="135">
        <v>103.26</v>
      </c>
      <c r="H65" s="135">
        <v>93.03</v>
      </c>
      <c r="I65" s="135">
        <f t="shared" si="2"/>
        <v>-10.230000000000004</v>
      </c>
      <c r="J65" s="137">
        <f t="shared" si="3"/>
        <v>12.249999999999996</v>
      </c>
    </row>
    <row r="66" spans="1:10" x14ac:dyDescent="0.2">
      <c r="A66" s="136">
        <v>41760.25</v>
      </c>
      <c r="B66" s="135">
        <v>101.8</v>
      </c>
      <c r="C66" s="135">
        <v>82.72</v>
      </c>
      <c r="D66" s="135">
        <v>-19.079999999999998</v>
      </c>
      <c r="E66" s="137">
        <f t="shared" si="0"/>
        <v>-39.08</v>
      </c>
      <c r="F66" s="137">
        <f t="shared" si="1"/>
        <v>-35.08</v>
      </c>
      <c r="G66" s="135">
        <v>102</v>
      </c>
      <c r="H66" s="135">
        <v>94.89</v>
      </c>
      <c r="I66" s="135">
        <f t="shared" si="2"/>
        <v>-7.1099999999999994</v>
      </c>
      <c r="J66" s="137">
        <f t="shared" si="3"/>
        <v>11.969999999999999</v>
      </c>
    </row>
    <row r="67" spans="1:10" x14ac:dyDescent="0.2">
      <c r="A67" s="136">
        <v>41791.25</v>
      </c>
      <c r="B67" s="135">
        <v>105.15</v>
      </c>
      <c r="C67" s="135">
        <v>86.56</v>
      </c>
      <c r="D67" s="135">
        <v>-18.59</v>
      </c>
      <c r="E67" s="137">
        <f t="shared" ref="E67:E117" si="4">D67-$N$32</f>
        <v>-38.590000000000003</v>
      </c>
      <c r="F67" s="137">
        <f t="shared" ref="F67:F117" si="5">D67-$O$32</f>
        <v>-34.590000000000003</v>
      </c>
      <c r="G67" s="135">
        <v>104.88</v>
      </c>
      <c r="H67" s="135">
        <v>97.86</v>
      </c>
      <c r="I67" s="135">
        <f t="shared" ref="I67:I117" si="6">H67-G67</f>
        <v>-7.019999999999996</v>
      </c>
      <c r="J67" s="137">
        <f t="shared" ref="J67:J117" si="7">I67-D67</f>
        <v>11.570000000000004</v>
      </c>
    </row>
    <row r="68" spans="1:10" x14ac:dyDescent="0.2">
      <c r="A68" s="136">
        <v>41821.25</v>
      </c>
      <c r="B68" s="135">
        <v>102.39</v>
      </c>
      <c r="C68" s="135">
        <v>82.73</v>
      </c>
      <c r="D68" s="135">
        <v>-19.66</v>
      </c>
      <c r="E68" s="137">
        <f t="shared" si="4"/>
        <v>-39.659999999999997</v>
      </c>
      <c r="F68" s="137">
        <f t="shared" si="5"/>
        <v>-35.659999999999997</v>
      </c>
      <c r="G68" s="135">
        <v>103.08</v>
      </c>
      <c r="H68" s="135">
        <v>94.33</v>
      </c>
      <c r="I68" s="135">
        <f t="shared" si="6"/>
        <v>-8.75</v>
      </c>
      <c r="J68" s="137">
        <f t="shared" si="7"/>
        <v>10.91</v>
      </c>
    </row>
    <row r="69" spans="1:10" x14ac:dyDescent="0.2">
      <c r="A69" s="136">
        <v>41852.25</v>
      </c>
      <c r="B69" s="135">
        <v>96.08</v>
      </c>
      <c r="C69" s="135">
        <v>73.89</v>
      </c>
      <c r="D69" s="135">
        <v>-22.19</v>
      </c>
      <c r="E69" s="137">
        <f t="shared" si="4"/>
        <v>-42.19</v>
      </c>
      <c r="F69" s="137">
        <f t="shared" si="5"/>
        <v>-38.19</v>
      </c>
      <c r="G69" s="135">
        <v>98.31</v>
      </c>
      <c r="H69" s="135">
        <v>91.1</v>
      </c>
      <c r="I69" s="135">
        <f t="shared" si="6"/>
        <v>-7.210000000000008</v>
      </c>
      <c r="J69" s="137">
        <f t="shared" si="7"/>
        <v>14.979999999999993</v>
      </c>
    </row>
    <row r="70" spans="1:10" x14ac:dyDescent="0.2">
      <c r="A70" s="136">
        <v>41883.25</v>
      </c>
      <c r="B70" s="135">
        <v>93.03</v>
      </c>
      <c r="C70" s="135">
        <v>74.349999999999994</v>
      </c>
      <c r="D70" s="135">
        <v>-18.68</v>
      </c>
      <c r="E70" s="137">
        <f t="shared" si="4"/>
        <v>-38.68</v>
      </c>
      <c r="F70" s="137">
        <f t="shared" si="5"/>
        <v>-34.68</v>
      </c>
      <c r="G70" s="135">
        <v>95.53</v>
      </c>
      <c r="H70" s="135">
        <v>88.13</v>
      </c>
      <c r="I70" s="135">
        <f t="shared" si="6"/>
        <v>-7.4000000000000057</v>
      </c>
      <c r="J70" s="137">
        <f t="shared" si="7"/>
        <v>11.279999999999994</v>
      </c>
    </row>
    <row r="71" spans="1:10" x14ac:dyDescent="0.2">
      <c r="A71" s="136">
        <v>41913.25</v>
      </c>
      <c r="B71" s="135">
        <v>84.34</v>
      </c>
      <c r="C71" s="135">
        <v>70.599999999999994</v>
      </c>
      <c r="D71" s="135">
        <v>-13.74</v>
      </c>
      <c r="E71" s="137">
        <f t="shared" si="4"/>
        <v>-33.74</v>
      </c>
      <c r="F71" s="137">
        <f t="shared" si="5"/>
        <v>-29.740000000000002</v>
      </c>
      <c r="G71" s="135">
        <v>86.41</v>
      </c>
      <c r="H71" s="135">
        <v>78.849999999999994</v>
      </c>
      <c r="I71" s="135">
        <f t="shared" si="6"/>
        <v>-7.5600000000000023</v>
      </c>
      <c r="J71" s="137">
        <f t="shared" si="7"/>
        <v>6.1799999999999979</v>
      </c>
    </row>
    <row r="72" spans="1:10" x14ac:dyDescent="0.2">
      <c r="A72" s="136">
        <v>41944.25</v>
      </c>
      <c r="B72" s="135">
        <v>75.81</v>
      </c>
      <c r="C72" s="135">
        <v>62.87</v>
      </c>
      <c r="D72" s="135">
        <v>-12.94</v>
      </c>
      <c r="E72" s="137">
        <f t="shared" si="4"/>
        <v>-32.94</v>
      </c>
      <c r="F72" s="137">
        <f t="shared" si="5"/>
        <v>-28.939999999999998</v>
      </c>
      <c r="G72" s="135">
        <v>78.17</v>
      </c>
      <c r="H72" s="135">
        <v>71.430000000000007</v>
      </c>
      <c r="I72" s="135">
        <f t="shared" si="6"/>
        <v>-6.7399999999999949</v>
      </c>
      <c r="J72" s="137">
        <f t="shared" si="7"/>
        <v>6.2000000000000046</v>
      </c>
    </row>
    <row r="73" spans="1:10" x14ac:dyDescent="0.2">
      <c r="A73" s="136">
        <v>41974.291666666664</v>
      </c>
      <c r="B73" s="135">
        <v>59.29</v>
      </c>
      <c r="C73" s="135">
        <v>43.24</v>
      </c>
      <c r="D73" s="135">
        <v>-16.05</v>
      </c>
      <c r="E73" s="137">
        <f t="shared" si="4"/>
        <v>-36.049999999999997</v>
      </c>
      <c r="F73" s="137">
        <f t="shared" si="5"/>
        <v>-32.049999999999997</v>
      </c>
      <c r="G73" s="135">
        <v>62.03</v>
      </c>
      <c r="H73" s="135">
        <v>52.52</v>
      </c>
      <c r="I73" s="135">
        <f t="shared" si="6"/>
        <v>-9.509999999999998</v>
      </c>
      <c r="J73" s="137">
        <f t="shared" si="7"/>
        <v>6.5400000000000027</v>
      </c>
    </row>
    <row r="74" spans="1:10" x14ac:dyDescent="0.2">
      <c r="A74" s="136">
        <v>42005.291666666664</v>
      </c>
      <c r="B74" s="135">
        <v>47.22</v>
      </c>
      <c r="C74" s="135">
        <v>30.43</v>
      </c>
      <c r="D74" s="135">
        <v>-16.79</v>
      </c>
      <c r="E74" s="137">
        <f t="shared" si="4"/>
        <v>-36.79</v>
      </c>
      <c r="F74" s="137">
        <f t="shared" si="5"/>
        <v>-32.79</v>
      </c>
      <c r="G74" s="135">
        <v>48.48</v>
      </c>
      <c r="H74" s="135">
        <v>40.11</v>
      </c>
      <c r="I74" s="135">
        <f t="shared" si="6"/>
        <v>-8.3699999999999974</v>
      </c>
      <c r="J74" s="137">
        <f t="shared" si="7"/>
        <v>8.4200000000000017</v>
      </c>
    </row>
    <row r="75" spans="1:10" x14ac:dyDescent="0.2">
      <c r="A75" s="136">
        <v>42036.291666666664</v>
      </c>
      <c r="B75" s="135">
        <v>50.58</v>
      </c>
      <c r="C75" s="135">
        <v>36.520000000000003</v>
      </c>
      <c r="D75" s="135">
        <v>-14.06</v>
      </c>
      <c r="E75" s="137">
        <f t="shared" si="4"/>
        <v>-34.06</v>
      </c>
      <c r="F75" s="137">
        <f t="shared" si="5"/>
        <v>-30.060000000000002</v>
      </c>
      <c r="G75" s="135">
        <v>48.64</v>
      </c>
      <c r="H75" s="135">
        <v>47.31</v>
      </c>
      <c r="I75" s="135">
        <f t="shared" si="6"/>
        <v>-1.3299999999999983</v>
      </c>
      <c r="J75" s="137">
        <f t="shared" si="7"/>
        <v>12.730000000000002</v>
      </c>
    </row>
    <row r="76" spans="1:10" x14ac:dyDescent="0.2">
      <c r="A76" s="136">
        <v>42064.291666666664</v>
      </c>
      <c r="B76" s="135">
        <v>47.82</v>
      </c>
      <c r="C76" s="135">
        <v>34.76</v>
      </c>
      <c r="D76" s="135">
        <v>-13.06</v>
      </c>
      <c r="E76" s="137">
        <f t="shared" si="4"/>
        <v>-33.06</v>
      </c>
      <c r="F76" s="137">
        <f t="shared" si="5"/>
        <v>-29.060000000000002</v>
      </c>
      <c r="G76" s="135">
        <v>47.53</v>
      </c>
      <c r="H76" s="135">
        <v>45.67</v>
      </c>
      <c r="I76" s="135">
        <f t="shared" si="6"/>
        <v>-1.8599999999999994</v>
      </c>
      <c r="J76" s="137">
        <f t="shared" si="7"/>
        <v>11.200000000000001</v>
      </c>
    </row>
    <row r="77" spans="1:10" x14ac:dyDescent="0.2">
      <c r="A77" s="136">
        <v>42095.25</v>
      </c>
      <c r="B77" s="135">
        <v>54.45</v>
      </c>
      <c r="C77" s="135">
        <v>40.26</v>
      </c>
      <c r="D77" s="135">
        <v>-14.19</v>
      </c>
      <c r="E77" s="137">
        <f t="shared" si="4"/>
        <v>-34.19</v>
      </c>
      <c r="F77" s="137">
        <f t="shared" si="5"/>
        <v>-30.189999999999998</v>
      </c>
      <c r="G77" s="135">
        <v>54.87</v>
      </c>
      <c r="H77" s="135">
        <v>49.53</v>
      </c>
      <c r="I77" s="135">
        <f t="shared" si="6"/>
        <v>-5.3399999999999963</v>
      </c>
      <c r="J77" s="137">
        <f t="shared" si="7"/>
        <v>8.8500000000000032</v>
      </c>
    </row>
    <row r="78" spans="1:10" x14ac:dyDescent="0.2">
      <c r="A78" s="136">
        <v>42125.25</v>
      </c>
      <c r="B78" s="135">
        <v>59.27</v>
      </c>
      <c r="C78" s="135">
        <v>47.5</v>
      </c>
      <c r="D78" s="135">
        <v>-11.77</v>
      </c>
      <c r="E78" s="137">
        <f t="shared" si="4"/>
        <v>-31.77</v>
      </c>
      <c r="F78" s="137">
        <f t="shared" si="5"/>
        <v>-27.77</v>
      </c>
      <c r="G78" s="135">
        <v>59.84</v>
      </c>
      <c r="H78" s="135">
        <v>55.16</v>
      </c>
      <c r="I78" s="135">
        <f t="shared" si="6"/>
        <v>-4.6800000000000068</v>
      </c>
      <c r="J78" s="137">
        <f t="shared" si="7"/>
        <v>7.0899999999999928</v>
      </c>
    </row>
    <row r="79" spans="1:10" x14ac:dyDescent="0.2">
      <c r="A79" s="136">
        <v>42156.25</v>
      </c>
      <c r="B79" s="135">
        <v>59.82</v>
      </c>
      <c r="C79" s="135">
        <v>51.29</v>
      </c>
      <c r="D79" s="135">
        <v>-8.5299999999999994</v>
      </c>
      <c r="E79" s="137">
        <f t="shared" si="4"/>
        <v>-28.53</v>
      </c>
      <c r="F79" s="137">
        <f t="shared" si="5"/>
        <v>-24.53</v>
      </c>
      <c r="G79" s="135">
        <v>61.14</v>
      </c>
      <c r="H79" s="135">
        <v>56.63</v>
      </c>
      <c r="I79" s="135">
        <f t="shared" si="6"/>
        <v>-4.509999999999998</v>
      </c>
      <c r="J79" s="137">
        <f t="shared" si="7"/>
        <v>4.0200000000000014</v>
      </c>
    </row>
    <row r="80" spans="1:10" x14ac:dyDescent="0.2">
      <c r="A80" s="136">
        <v>42186.25</v>
      </c>
      <c r="B80" s="135">
        <v>50.9</v>
      </c>
      <c r="C80" s="135">
        <v>43.49</v>
      </c>
      <c r="D80" s="135">
        <v>-7.41</v>
      </c>
      <c r="E80" s="137">
        <f t="shared" si="4"/>
        <v>-27.41</v>
      </c>
      <c r="F80" s="137">
        <f t="shared" si="5"/>
        <v>-23.41</v>
      </c>
      <c r="G80" s="135">
        <v>52.31</v>
      </c>
      <c r="H80" s="135">
        <v>50.53</v>
      </c>
      <c r="I80" s="135">
        <f t="shared" si="6"/>
        <v>-1.7800000000000011</v>
      </c>
      <c r="J80" s="137">
        <f t="shared" si="7"/>
        <v>5.629999999999999</v>
      </c>
    </row>
    <row r="81" spans="1:10" x14ac:dyDescent="0.2">
      <c r="A81" s="136">
        <v>42217.25</v>
      </c>
      <c r="B81" s="135">
        <v>42.87</v>
      </c>
      <c r="C81" s="135">
        <v>29.48</v>
      </c>
      <c r="D81" s="135">
        <v>-13.39</v>
      </c>
      <c r="E81" s="137">
        <f t="shared" si="4"/>
        <v>-33.39</v>
      </c>
      <c r="F81" s="137">
        <f t="shared" si="5"/>
        <v>-29.39</v>
      </c>
      <c r="G81" s="135">
        <v>44.3</v>
      </c>
      <c r="H81" s="135">
        <v>40.549999999999997</v>
      </c>
      <c r="I81" s="135">
        <f t="shared" si="6"/>
        <v>-3.75</v>
      </c>
      <c r="J81" s="137">
        <f t="shared" si="7"/>
        <v>9.64</v>
      </c>
    </row>
    <row r="82" spans="1:10" x14ac:dyDescent="0.2">
      <c r="A82" s="136">
        <v>42248.25</v>
      </c>
      <c r="B82" s="135">
        <v>45.48</v>
      </c>
      <c r="C82" s="135">
        <v>26.5</v>
      </c>
      <c r="D82" s="135">
        <v>-18.98</v>
      </c>
      <c r="E82" s="137">
        <f t="shared" si="4"/>
        <v>-38.980000000000004</v>
      </c>
      <c r="F82" s="137">
        <f t="shared" si="5"/>
        <v>-34.980000000000004</v>
      </c>
      <c r="G82" s="135">
        <v>45.02</v>
      </c>
      <c r="H82" s="135">
        <v>39.5</v>
      </c>
      <c r="I82" s="135">
        <f t="shared" si="6"/>
        <v>-5.5200000000000031</v>
      </c>
      <c r="J82" s="137">
        <f t="shared" si="7"/>
        <v>13.459999999999997</v>
      </c>
    </row>
    <row r="83" spans="1:10" x14ac:dyDescent="0.2">
      <c r="A83" s="136">
        <v>42278.25</v>
      </c>
      <c r="B83" s="135">
        <v>46.22</v>
      </c>
      <c r="C83" s="135">
        <v>32.78</v>
      </c>
      <c r="D83" s="135">
        <v>-13.44</v>
      </c>
      <c r="E83" s="137">
        <f t="shared" si="4"/>
        <v>-33.44</v>
      </c>
      <c r="F83" s="137">
        <f t="shared" si="5"/>
        <v>-29.439999999999998</v>
      </c>
      <c r="G83" s="135">
        <v>42.33</v>
      </c>
      <c r="H83" s="135">
        <v>39.14</v>
      </c>
      <c r="I83" s="135">
        <f t="shared" si="6"/>
        <v>-3.1899999999999977</v>
      </c>
      <c r="J83" s="137">
        <f t="shared" si="7"/>
        <v>10.250000000000002</v>
      </c>
    </row>
    <row r="84" spans="1:10" x14ac:dyDescent="0.2">
      <c r="A84" s="136">
        <v>42309.25</v>
      </c>
      <c r="B84" s="135">
        <v>42.44</v>
      </c>
      <c r="C84" s="135">
        <v>27.78</v>
      </c>
      <c r="D84" s="135">
        <v>-14.66</v>
      </c>
      <c r="E84" s="137">
        <f t="shared" si="4"/>
        <v>-34.659999999999997</v>
      </c>
      <c r="F84" s="137">
        <f t="shared" si="5"/>
        <v>-30.66</v>
      </c>
      <c r="G84" s="135">
        <v>40.479999999999997</v>
      </c>
      <c r="H84" s="135">
        <v>35.36</v>
      </c>
      <c r="I84" s="135">
        <f t="shared" si="6"/>
        <v>-5.1199999999999974</v>
      </c>
      <c r="J84" s="137">
        <f t="shared" si="7"/>
        <v>9.5400000000000027</v>
      </c>
    </row>
    <row r="85" spans="1:10" x14ac:dyDescent="0.2">
      <c r="A85" s="136">
        <v>42339.291666666664</v>
      </c>
      <c r="B85" s="135">
        <v>37.19</v>
      </c>
      <c r="C85" s="135">
        <v>22.51</v>
      </c>
      <c r="D85" s="135">
        <v>-14.68</v>
      </c>
      <c r="E85" s="137">
        <f t="shared" si="4"/>
        <v>-34.68</v>
      </c>
      <c r="F85" s="137">
        <f t="shared" si="5"/>
        <v>-30.68</v>
      </c>
      <c r="G85" s="135">
        <v>34.92</v>
      </c>
      <c r="H85" s="135">
        <v>28.74</v>
      </c>
      <c r="I85" s="135">
        <f t="shared" si="6"/>
        <v>-6.1800000000000033</v>
      </c>
      <c r="J85" s="137">
        <f t="shared" si="7"/>
        <v>8.4999999999999964</v>
      </c>
    </row>
    <row r="86" spans="1:10" x14ac:dyDescent="0.2">
      <c r="A86" s="136">
        <v>42370.291666666664</v>
      </c>
      <c r="B86" s="135">
        <v>31.68</v>
      </c>
      <c r="C86" s="135">
        <v>17.88</v>
      </c>
      <c r="D86" s="135">
        <v>-13.8</v>
      </c>
      <c r="E86" s="137">
        <f t="shared" si="4"/>
        <v>-33.799999999999997</v>
      </c>
      <c r="F86" s="137">
        <f t="shared" si="5"/>
        <v>-29.8</v>
      </c>
      <c r="G86" s="135">
        <v>29.26</v>
      </c>
      <c r="H86" s="135">
        <v>24.21</v>
      </c>
      <c r="I86" s="135">
        <f t="shared" si="6"/>
        <v>-5.0500000000000007</v>
      </c>
      <c r="J86" s="137">
        <f t="shared" si="7"/>
        <v>8.75</v>
      </c>
    </row>
    <row r="87" spans="1:10" x14ac:dyDescent="0.2">
      <c r="A87" s="136">
        <v>42401.291666666664</v>
      </c>
      <c r="B87" s="135">
        <v>30.32</v>
      </c>
      <c r="C87" s="135">
        <v>16.3</v>
      </c>
      <c r="D87" s="135">
        <v>-14.02</v>
      </c>
      <c r="E87" s="137">
        <f t="shared" si="4"/>
        <v>-34.019999999999996</v>
      </c>
      <c r="F87" s="137">
        <f t="shared" si="5"/>
        <v>-30.02</v>
      </c>
      <c r="G87" s="135">
        <v>27.36</v>
      </c>
      <c r="H87" s="135">
        <v>24.84</v>
      </c>
      <c r="I87" s="135">
        <f t="shared" si="6"/>
        <v>-2.5199999999999996</v>
      </c>
      <c r="J87" s="137">
        <f t="shared" si="7"/>
        <v>11.5</v>
      </c>
    </row>
    <row r="88" spans="1:10" x14ac:dyDescent="0.2">
      <c r="A88" s="136">
        <v>42430.291666666664</v>
      </c>
      <c r="B88" s="135">
        <v>37.549999999999997</v>
      </c>
      <c r="C88" s="135">
        <v>23.46</v>
      </c>
      <c r="D88" s="135">
        <v>-14.09</v>
      </c>
      <c r="E88" s="137">
        <f t="shared" si="4"/>
        <v>-34.090000000000003</v>
      </c>
      <c r="F88" s="137">
        <f t="shared" si="5"/>
        <v>-30.09</v>
      </c>
      <c r="G88" s="135">
        <v>34.04</v>
      </c>
      <c r="H88" s="135">
        <v>29.22</v>
      </c>
      <c r="I88" s="135">
        <f t="shared" si="6"/>
        <v>-4.82</v>
      </c>
      <c r="J88" s="137">
        <f t="shared" si="7"/>
        <v>9.27</v>
      </c>
    </row>
    <row r="89" spans="1:10" x14ac:dyDescent="0.2">
      <c r="A89" s="136">
        <v>42461.25</v>
      </c>
      <c r="B89" s="135">
        <v>40.75</v>
      </c>
      <c r="C89" s="135">
        <v>27.88</v>
      </c>
      <c r="D89" s="135">
        <v>-12.87</v>
      </c>
      <c r="E89" s="137">
        <f t="shared" si="4"/>
        <v>-32.869999999999997</v>
      </c>
      <c r="F89" s="137">
        <f t="shared" si="5"/>
        <v>-28.869999999999997</v>
      </c>
      <c r="G89" s="135">
        <v>37.78</v>
      </c>
      <c r="H89" s="135">
        <v>30.95</v>
      </c>
      <c r="I89" s="135">
        <f t="shared" si="6"/>
        <v>-6.8300000000000018</v>
      </c>
      <c r="J89" s="137">
        <f t="shared" si="7"/>
        <v>6.0399999999999974</v>
      </c>
    </row>
    <row r="90" spans="1:10" x14ac:dyDescent="0.2">
      <c r="A90" s="136">
        <v>42491.25</v>
      </c>
      <c r="B90" s="135">
        <v>46.71</v>
      </c>
      <c r="C90" s="135">
        <v>32.520000000000003</v>
      </c>
      <c r="D90" s="135">
        <v>-14.19</v>
      </c>
      <c r="E90" s="137">
        <f t="shared" si="4"/>
        <v>-34.19</v>
      </c>
      <c r="F90" s="137">
        <f t="shared" si="5"/>
        <v>-30.189999999999998</v>
      </c>
      <c r="G90" s="135">
        <v>43.19</v>
      </c>
      <c r="H90" s="135">
        <v>39.08</v>
      </c>
      <c r="I90" s="135">
        <f t="shared" si="6"/>
        <v>-4.1099999999999994</v>
      </c>
      <c r="J90" s="137">
        <f t="shared" si="7"/>
        <v>10.08</v>
      </c>
    </row>
    <row r="91" spans="1:10" x14ac:dyDescent="0.2">
      <c r="A91" s="136">
        <v>42522.25</v>
      </c>
      <c r="B91" s="135">
        <v>48.76</v>
      </c>
      <c r="C91" s="135">
        <v>36.47</v>
      </c>
      <c r="D91" s="135">
        <v>-12.29</v>
      </c>
      <c r="E91" s="137">
        <f t="shared" si="4"/>
        <v>-32.29</v>
      </c>
      <c r="F91" s="137">
        <f t="shared" si="5"/>
        <v>-28.29</v>
      </c>
      <c r="G91" s="135">
        <v>46.25</v>
      </c>
      <c r="H91" s="135">
        <v>42.43</v>
      </c>
      <c r="I91" s="135">
        <f t="shared" si="6"/>
        <v>-3.8200000000000003</v>
      </c>
      <c r="J91" s="137">
        <f t="shared" si="7"/>
        <v>8.4699999999999989</v>
      </c>
    </row>
    <row r="92" spans="1:10" x14ac:dyDescent="0.2">
      <c r="A92" s="136">
        <v>42552.25</v>
      </c>
      <c r="B92" s="135">
        <v>44.65</v>
      </c>
      <c r="C92" s="135">
        <v>32.799999999999997</v>
      </c>
      <c r="D92" s="135">
        <v>-11.85</v>
      </c>
      <c r="E92" s="137">
        <f t="shared" si="4"/>
        <v>-31.85</v>
      </c>
      <c r="F92" s="137">
        <f t="shared" si="5"/>
        <v>-27.85</v>
      </c>
      <c r="G92" s="135">
        <v>42.93</v>
      </c>
      <c r="H92" s="135">
        <v>40.25</v>
      </c>
      <c r="I92" s="135">
        <f t="shared" si="6"/>
        <v>-2.6799999999999997</v>
      </c>
      <c r="J92" s="137">
        <f t="shared" si="7"/>
        <v>9.17</v>
      </c>
    </row>
    <row r="93" spans="1:10" x14ac:dyDescent="0.2">
      <c r="A93" s="136">
        <v>42583.25</v>
      </c>
      <c r="B93" s="135">
        <v>44.72</v>
      </c>
      <c r="C93" s="135">
        <v>30.9</v>
      </c>
      <c r="D93" s="135">
        <v>-13.82</v>
      </c>
      <c r="E93" s="137">
        <f t="shared" si="4"/>
        <v>-33.82</v>
      </c>
      <c r="F93" s="137">
        <f t="shared" si="5"/>
        <v>-29.82</v>
      </c>
      <c r="G93" s="135">
        <v>42.23</v>
      </c>
      <c r="H93" s="135">
        <v>38.76</v>
      </c>
      <c r="I93" s="135">
        <f t="shared" si="6"/>
        <v>-3.4699999999999989</v>
      </c>
      <c r="J93" s="137">
        <f t="shared" si="7"/>
        <v>10.350000000000001</v>
      </c>
    </row>
    <row r="94" spans="1:10" x14ac:dyDescent="0.2">
      <c r="A94" s="136">
        <v>42614.25</v>
      </c>
      <c r="B94" s="135">
        <v>45.18</v>
      </c>
      <c r="C94" s="135">
        <v>30.62</v>
      </c>
      <c r="D94" s="135">
        <v>-14.56</v>
      </c>
      <c r="E94" s="137">
        <f t="shared" si="4"/>
        <v>-34.56</v>
      </c>
      <c r="F94" s="137">
        <f t="shared" si="5"/>
        <v>-30.560000000000002</v>
      </c>
      <c r="G94" s="135">
        <v>42.14</v>
      </c>
      <c r="H94" s="135">
        <v>38.61</v>
      </c>
      <c r="I94" s="135">
        <f t="shared" si="6"/>
        <v>-3.5300000000000011</v>
      </c>
      <c r="J94" s="137">
        <f t="shared" si="7"/>
        <v>11.03</v>
      </c>
    </row>
    <row r="95" spans="1:10" x14ac:dyDescent="0.2">
      <c r="A95" s="136">
        <v>42644.25</v>
      </c>
      <c r="B95" s="135">
        <v>49.78</v>
      </c>
      <c r="C95" s="135">
        <v>35.83</v>
      </c>
      <c r="D95" s="135">
        <v>-13.95</v>
      </c>
      <c r="E95" s="137">
        <f t="shared" si="4"/>
        <v>-33.950000000000003</v>
      </c>
      <c r="F95" s="137">
        <f t="shared" si="5"/>
        <v>-29.95</v>
      </c>
      <c r="G95" s="135">
        <v>46.92</v>
      </c>
      <c r="H95" s="135">
        <v>43.2</v>
      </c>
      <c r="I95" s="135">
        <f t="shared" si="6"/>
        <v>-3.7199999999999989</v>
      </c>
      <c r="J95" s="137">
        <f t="shared" si="7"/>
        <v>10.23</v>
      </c>
    </row>
    <row r="96" spans="1:10" x14ac:dyDescent="0.2">
      <c r="A96" s="136">
        <v>42675.25</v>
      </c>
      <c r="B96" s="135">
        <v>45.66</v>
      </c>
      <c r="C96" s="135">
        <v>31.89</v>
      </c>
      <c r="D96" s="135">
        <v>-13.77</v>
      </c>
      <c r="E96" s="137">
        <f t="shared" si="4"/>
        <v>-33.769999999999996</v>
      </c>
      <c r="F96" s="137">
        <f t="shared" si="5"/>
        <v>-29.77</v>
      </c>
      <c r="G96" s="135">
        <v>43.22</v>
      </c>
      <c r="H96" s="135">
        <v>39.729999999999997</v>
      </c>
      <c r="I96" s="135">
        <f t="shared" si="6"/>
        <v>-3.490000000000002</v>
      </c>
      <c r="J96" s="137">
        <f t="shared" si="7"/>
        <v>10.279999999999998</v>
      </c>
    </row>
    <row r="97" spans="1:10" x14ac:dyDescent="0.2">
      <c r="A97" s="136">
        <v>42705.291666666664</v>
      </c>
      <c r="B97" s="135">
        <v>51.97</v>
      </c>
      <c r="C97" s="135">
        <v>37.18</v>
      </c>
      <c r="D97" s="135">
        <v>-14.79</v>
      </c>
      <c r="E97" s="137">
        <f t="shared" si="4"/>
        <v>-34.79</v>
      </c>
      <c r="F97" s="137">
        <f t="shared" si="5"/>
        <v>-30.79</v>
      </c>
      <c r="G97" s="135">
        <v>48.7</v>
      </c>
      <c r="H97" s="135">
        <v>45.55</v>
      </c>
      <c r="I97" s="135">
        <f t="shared" si="6"/>
        <v>-3.1500000000000057</v>
      </c>
      <c r="J97" s="137">
        <f t="shared" si="7"/>
        <v>11.639999999999993</v>
      </c>
    </row>
    <row r="98" spans="1:10" x14ac:dyDescent="0.2">
      <c r="A98" s="136">
        <v>42736.291666666664</v>
      </c>
      <c r="B98" s="135">
        <v>52.5</v>
      </c>
      <c r="C98" s="135">
        <v>37.19</v>
      </c>
      <c r="D98" s="135">
        <v>-15.31</v>
      </c>
      <c r="E98" s="137">
        <f t="shared" si="4"/>
        <v>-35.31</v>
      </c>
      <c r="F98" s="137">
        <f t="shared" si="5"/>
        <v>-31.310000000000002</v>
      </c>
      <c r="G98" s="135">
        <v>49.41</v>
      </c>
      <c r="H98" s="135">
        <v>45.74</v>
      </c>
      <c r="I98" s="135">
        <f t="shared" si="6"/>
        <v>-3.6699999999999946</v>
      </c>
      <c r="J98" s="137">
        <f t="shared" si="7"/>
        <v>11.640000000000006</v>
      </c>
    </row>
    <row r="99" spans="1:10" x14ac:dyDescent="0.2">
      <c r="A99" s="136">
        <v>42767.291666666664</v>
      </c>
      <c r="B99" s="135">
        <v>53.47</v>
      </c>
      <c r="C99" s="135">
        <v>39.14</v>
      </c>
      <c r="D99" s="135">
        <v>-14.33</v>
      </c>
      <c r="E99" s="137">
        <f t="shared" si="4"/>
        <v>-34.33</v>
      </c>
      <c r="F99" s="137">
        <f t="shared" si="5"/>
        <v>-30.33</v>
      </c>
      <c r="G99" s="135">
        <v>50.41</v>
      </c>
      <c r="H99" s="135">
        <v>45.88</v>
      </c>
      <c r="I99" s="135">
        <f t="shared" si="6"/>
        <v>-4.529999999999994</v>
      </c>
      <c r="J99" s="137">
        <f t="shared" si="7"/>
        <v>9.800000000000006</v>
      </c>
    </row>
    <row r="100" spans="1:10" x14ac:dyDescent="0.2">
      <c r="A100" s="136">
        <v>42795.291666666664</v>
      </c>
      <c r="B100" s="135">
        <v>49.33</v>
      </c>
      <c r="C100" s="135">
        <v>35.68</v>
      </c>
      <c r="D100" s="135">
        <v>-13.65</v>
      </c>
      <c r="E100" s="137">
        <f t="shared" si="4"/>
        <v>-33.65</v>
      </c>
      <c r="F100" s="137">
        <f t="shared" si="5"/>
        <v>-29.65</v>
      </c>
      <c r="G100" s="135">
        <v>47.06</v>
      </c>
      <c r="H100" s="135">
        <v>42.3</v>
      </c>
      <c r="I100" s="135">
        <f t="shared" si="6"/>
        <v>-4.7600000000000051</v>
      </c>
      <c r="J100" s="137">
        <f t="shared" si="7"/>
        <v>8.8899999999999952</v>
      </c>
    </row>
    <row r="101" spans="1:10" x14ac:dyDescent="0.2">
      <c r="A101" s="136">
        <v>42826.25</v>
      </c>
      <c r="B101" s="135">
        <v>51.06</v>
      </c>
      <c r="C101" s="135">
        <v>36.840000000000003</v>
      </c>
      <c r="D101" s="135">
        <v>-14.22</v>
      </c>
      <c r="E101" s="137">
        <f t="shared" si="4"/>
        <v>-34.22</v>
      </c>
      <c r="F101" s="137">
        <f t="shared" si="5"/>
        <v>-30.22</v>
      </c>
      <c r="G101" s="135">
        <v>48.5</v>
      </c>
      <c r="H101" s="135">
        <v>44.54</v>
      </c>
      <c r="I101" s="135">
        <f t="shared" si="6"/>
        <v>-3.9600000000000009</v>
      </c>
      <c r="J101" s="137">
        <f t="shared" si="7"/>
        <v>10.26</v>
      </c>
    </row>
    <row r="102" spans="1:10" x14ac:dyDescent="0.2">
      <c r="A102" s="136">
        <v>42856.25</v>
      </c>
      <c r="B102" s="135">
        <v>48.48</v>
      </c>
      <c r="C102" s="135">
        <v>38.840000000000003</v>
      </c>
      <c r="D102" s="135">
        <v>-9.64</v>
      </c>
      <c r="E102" s="137">
        <f t="shared" si="4"/>
        <v>-29.64</v>
      </c>
      <c r="F102" s="137">
        <f t="shared" si="5"/>
        <v>-25.64</v>
      </c>
      <c r="G102" s="135">
        <v>46.43</v>
      </c>
      <c r="H102" s="135">
        <v>44.98</v>
      </c>
      <c r="I102" s="135">
        <f t="shared" si="6"/>
        <v>-1.4500000000000028</v>
      </c>
      <c r="J102" s="137">
        <f t="shared" si="7"/>
        <v>8.1899999999999977</v>
      </c>
    </row>
    <row r="103" spans="1:10" x14ac:dyDescent="0.2">
      <c r="A103" s="136">
        <v>42887.25</v>
      </c>
      <c r="B103" s="135">
        <v>45.18</v>
      </c>
      <c r="C103" s="135">
        <v>35.799999999999997</v>
      </c>
      <c r="D103" s="135">
        <v>-9.3800000000000008</v>
      </c>
      <c r="E103" s="137">
        <f t="shared" si="4"/>
        <v>-29.380000000000003</v>
      </c>
      <c r="F103" s="137">
        <f t="shared" si="5"/>
        <v>-25.380000000000003</v>
      </c>
      <c r="G103" s="135">
        <v>43.26</v>
      </c>
      <c r="H103" s="135">
        <v>42.07</v>
      </c>
      <c r="I103" s="135">
        <f t="shared" si="6"/>
        <v>-1.1899999999999977</v>
      </c>
      <c r="J103" s="137">
        <f t="shared" si="7"/>
        <v>8.1900000000000031</v>
      </c>
    </row>
    <row r="104" spans="1:10" x14ac:dyDescent="0.2">
      <c r="A104" s="136">
        <v>42917.25</v>
      </c>
      <c r="B104" s="135">
        <v>46.63</v>
      </c>
      <c r="C104" s="135">
        <v>36.369999999999997</v>
      </c>
      <c r="D104" s="135">
        <v>-10.26</v>
      </c>
      <c r="E104" s="137">
        <f t="shared" si="4"/>
        <v>-30.259999999999998</v>
      </c>
      <c r="F104" s="137">
        <f t="shared" si="5"/>
        <v>-26.259999999999998</v>
      </c>
      <c r="G104" s="135">
        <v>44.62</v>
      </c>
      <c r="H104" s="135">
        <v>44.33</v>
      </c>
      <c r="I104" s="135">
        <f t="shared" si="6"/>
        <v>-0.28999999999999915</v>
      </c>
      <c r="J104" s="137">
        <f t="shared" si="7"/>
        <v>9.9700000000000006</v>
      </c>
    </row>
    <row r="105" spans="1:10" x14ac:dyDescent="0.2">
      <c r="A105" s="136">
        <v>42948.25</v>
      </c>
      <c r="B105" s="135">
        <v>48.04</v>
      </c>
      <c r="C105" s="135">
        <v>38.5</v>
      </c>
      <c r="D105" s="135">
        <v>-9.5399999999999991</v>
      </c>
      <c r="E105" s="137">
        <f t="shared" si="4"/>
        <v>-29.54</v>
      </c>
      <c r="F105" s="137">
        <f t="shared" si="5"/>
        <v>-25.54</v>
      </c>
      <c r="G105" s="135">
        <v>46.41</v>
      </c>
      <c r="H105" s="135">
        <v>46.4</v>
      </c>
      <c r="I105" s="135">
        <f t="shared" si="6"/>
        <v>-9.9999999999980105E-3</v>
      </c>
      <c r="J105" s="137">
        <f t="shared" si="7"/>
        <v>9.5300000000000011</v>
      </c>
    </row>
    <row r="106" spans="1:10" x14ac:dyDescent="0.2">
      <c r="A106" s="136">
        <v>42979.25</v>
      </c>
      <c r="B106" s="135">
        <v>49.82</v>
      </c>
      <c r="C106" s="135">
        <v>39.93</v>
      </c>
      <c r="D106" s="135">
        <v>-9.89</v>
      </c>
      <c r="E106" s="137">
        <f t="shared" si="4"/>
        <v>-29.89</v>
      </c>
      <c r="F106" s="137">
        <f t="shared" si="5"/>
        <v>-25.89</v>
      </c>
      <c r="G106" s="135">
        <v>48.41</v>
      </c>
      <c r="H106" s="135">
        <v>48.11</v>
      </c>
      <c r="I106" s="135">
        <f t="shared" si="6"/>
        <v>-0.29999999999999716</v>
      </c>
      <c r="J106" s="137">
        <f t="shared" si="7"/>
        <v>9.5900000000000034</v>
      </c>
    </row>
    <row r="107" spans="1:10" x14ac:dyDescent="0.2">
      <c r="A107" s="136">
        <v>43009.25</v>
      </c>
      <c r="B107" s="135">
        <v>51.58</v>
      </c>
      <c r="C107" s="135">
        <v>39.869999999999997</v>
      </c>
      <c r="D107" s="135">
        <v>-11.71</v>
      </c>
      <c r="E107" s="137">
        <f t="shared" si="4"/>
        <v>-31.71</v>
      </c>
      <c r="F107" s="137">
        <f t="shared" si="5"/>
        <v>-27.71</v>
      </c>
      <c r="G107" s="135">
        <v>51.67</v>
      </c>
      <c r="H107" s="135">
        <v>49.01</v>
      </c>
      <c r="I107" s="135">
        <f t="shared" si="6"/>
        <v>-2.6600000000000037</v>
      </c>
      <c r="J107" s="137">
        <f t="shared" si="7"/>
        <v>9.0499999999999972</v>
      </c>
    </row>
    <row r="108" spans="1:10" x14ac:dyDescent="0.2">
      <c r="A108" s="136">
        <v>43040.25</v>
      </c>
      <c r="B108" s="135">
        <v>56.64</v>
      </c>
      <c r="C108" s="135">
        <v>45.52</v>
      </c>
      <c r="D108" s="135">
        <v>-11.12</v>
      </c>
      <c r="E108" s="137">
        <f t="shared" si="4"/>
        <v>-31.119999999999997</v>
      </c>
      <c r="F108" s="137">
        <f t="shared" si="5"/>
        <v>-27.119999999999997</v>
      </c>
      <c r="G108" s="135">
        <v>58.13</v>
      </c>
      <c r="H108" s="135">
        <v>54.73</v>
      </c>
      <c r="I108" s="135">
        <f t="shared" si="6"/>
        <v>-3.4000000000000057</v>
      </c>
      <c r="J108" s="137">
        <f t="shared" si="7"/>
        <v>7.7199999999999935</v>
      </c>
    </row>
    <row r="109" spans="1:10" x14ac:dyDescent="0.2">
      <c r="A109" s="136">
        <v>43070.291666666664</v>
      </c>
      <c r="B109" s="135">
        <v>57.88</v>
      </c>
      <c r="C109" s="135">
        <v>44.02</v>
      </c>
      <c r="D109" s="135">
        <v>-13.86</v>
      </c>
      <c r="E109" s="137">
        <f t="shared" si="4"/>
        <v>-33.86</v>
      </c>
      <c r="F109" s="137">
        <f t="shared" si="5"/>
        <v>-29.86</v>
      </c>
      <c r="G109" s="135">
        <v>59.89</v>
      </c>
      <c r="H109" s="135">
        <v>55.32</v>
      </c>
      <c r="I109" s="135">
        <f t="shared" si="6"/>
        <v>-4.57</v>
      </c>
      <c r="J109" s="137">
        <f t="shared" si="7"/>
        <v>9.2899999999999991</v>
      </c>
    </row>
    <row r="110" spans="1:10" x14ac:dyDescent="0.2">
      <c r="A110" s="136">
        <v>43101.291666666664</v>
      </c>
      <c r="B110" s="135">
        <v>63.7</v>
      </c>
      <c r="C110" s="135">
        <v>42.53</v>
      </c>
      <c r="D110" s="135">
        <v>-21.17</v>
      </c>
      <c r="E110" s="137">
        <f t="shared" si="4"/>
        <v>-41.17</v>
      </c>
      <c r="F110" s="137">
        <f t="shared" si="5"/>
        <v>-37.17</v>
      </c>
      <c r="G110" s="135">
        <v>64.790000000000006</v>
      </c>
      <c r="H110" s="135">
        <v>59.05</v>
      </c>
      <c r="I110" s="135">
        <f t="shared" si="6"/>
        <v>-5.7400000000000091</v>
      </c>
      <c r="J110" s="137">
        <f t="shared" si="7"/>
        <v>15.429999999999993</v>
      </c>
    </row>
    <row r="111" spans="1:10" x14ac:dyDescent="0.2">
      <c r="A111" s="136">
        <v>43132.291666666664</v>
      </c>
      <c r="B111" s="135">
        <v>62.23</v>
      </c>
      <c r="C111" s="135">
        <v>37.72</v>
      </c>
      <c r="D111" s="135">
        <v>-24.51</v>
      </c>
      <c r="E111" s="137">
        <f t="shared" si="4"/>
        <v>-44.510000000000005</v>
      </c>
      <c r="F111" s="137">
        <f t="shared" si="5"/>
        <v>-40.510000000000005</v>
      </c>
      <c r="G111" s="135">
        <v>62.96</v>
      </c>
      <c r="H111" s="135">
        <v>56.82</v>
      </c>
      <c r="I111" s="135">
        <f t="shared" si="6"/>
        <v>-6.1400000000000006</v>
      </c>
      <c r="J111" s="137">
        <f t="shared" si="7"/>
        <v>18.37</v>
      </c>
    </row>
    <row r="112" spans="1:10" x14ac:dyDescent="0.2">
      <c r="A112" s="136">
        <v>43160.291666666664</v>
      </c>
      <c r="B112" s="135">
        <v>62.73</v>
      </c>
      <c r="C112" s="135">
        <v>35.53</v>
      </c>
      <c r="D112" s="135">
        <v>-27.2</v>
      </c>
      <c r="E112" s="137">
        <f t="shared" si="4"/>
        <v>-47.2</v>
      </c>
      <c r="F112" s="137">
        <f t="shared" si="5"/>
        <v>-43.2</v>
      </c>
      <c r="G112" s="135">
        <v>61.42</v>
      </c>
      <c r="H112" s="135">
        <v>56.98</v>
      </c>
      <c r="I112" s="135">
        <f t="shared" si="6"/>
        <v>-4.4400000000000048</v>
      </c>
      <c r="J112" s="137">
        <f t="shared" si="7"/>
        <v>22.759999999999994</v>
      </c>
    </row>
    <row r="113" spans="1:10" x14ac:dyDescent="0.2">
      <c r="A113" s="136">
        <v>43191.25</v>
      </c>
      <c r="B113" s="135">
        <v>66.25</v>
      </c>
      <c r="C113" s="135">
        <v>40.47</v>
      </c>
      <c r="D113" s="135">
        <v>-25.78</v>
      </c>
      <c r="E113" s="137">
        <f t="shared" si="4"/>
        <v>-45.78</v>
      </c>
      <c r="F113" s="137">
        <f t="shared" si="5"/>
        <v>-41.78</v>
      </c>
      <c r="G113" s="135">
        <v>64.53</v>
      </c>
      <c r="H113" s="135">
        <v>57.87</v>
      </c>
      <c r="I113" s="135">
        <f t="shared" si="6"/>
        <v>-6.6600000000000037</v>
      </c>
      <c r="J113" s="137">
        <f t="shared" si="7"/>
        <v>19.119999999999997</v>
      </c>
    </row>
    <row r="114" spans="1:10" x14ac:dyDescent="0.2">
      <c r="A114" s="136">
        <v>43221.25</v>
      </c>
      <c r="B114" s="135">
        <v>69.98</v>
      </c>
      <c r="C114" s="135">
        <v>53.25</v>
      </c>
      <c r="D114" s="135">
        <v>-16.73</v>
      </c>
      <c r="E114" s="137">
        <f t="shared" si="4"/>
        <v>-36.730000000000004</v>
      </c>
      <c r="F114" s="137">
        <f t="shared" si="5"/>
        <v>-32.730000000000004</v>
      </c>
      <c r="G114" s="135">
        <v>68.53</v>
      </c>
      <c r="H114" s="135">
        <v>63.55</v>
      </c>
      <c r="I114" s="135">
        <f t="shared" si="6"/>
        <v>-4.980000000000004</v>
      </c>
      <c r="J114" s="137">
        <f t="shared" si="7"/>
        <v>11.749999999999996</v>
      </c>
    </row>
    <row r="115" spans="1:10" x14ac:dyDescent="0.2">
      <c r="A115" s="136">
        <v>43252.25</v>
      </c>
      <c r="B115" s="135">
        <v>67.87</v>
      </c>
      <c r="C115" s="135">
        <v>52.1</v>
      </c>
      <c r="D115" s="135">
        <v>-15.77</v>
      </c>
      <c r="E115" s="137">
        <f t="shared" si="4"/>
        <v>-35.769999999999996</v>
      </c>
      <c r="F115" s="137">
        <f t="shared" si="5"/>
        <v>-31.77</v>
      </c>
      <c r="G115" s="135">
        <v>67.739999999999995</v>
      </c>
      <c r="H115" s="135">
        <v>64.61</v>
      </c>
      <c r="I115" s="135">
        <f t="shared" si="6"/>
        <v>-3.1299999999999955</v>
      </c>
      <c r="J115" s="137">
        <f t="shared" si="7"/>
        <v>12.640000000000004</v>
      </c>
    </row>
    <row r="116" spans="1:10" x14ac:dyDescent="0.2">
      <c r="A116" s="136">
        <v>43282.25</v>
      </c>
      <c r="B116" s="135">
        <v>70.98</v>
      </c>
      <c r="C116" s="135">
        <v>52.83</v>
      </c>
      <c r="D116" s="135">
        <v>-18.149999999999999</v>
      </c>
      <c r="E116" s="137">
        <f t="shared" si="4"/>
        <v>-38.15</v>
      </c>
      <c r="F116" s="137">
        <f t="shared" si="5"/>
        <v>-34.15</v>
      </c>
      <c r="G116" s="135">
        <v>74.25</v>
      </c>
      <c r="H116" s="135">
        <v>66.349999999999994</v>
      </c>
      <c r="I116" s="135">
        <f t="shared" si="6"/>
        <v>-7.9000000000000057</v>
      </c>
      <c r="J116" s="137">
        <f t="shared" si="7"/>
        <v>10.249999999999993</v>
      </c>
    </row>
    <row r="117" spans="1:10" x14ac:dyDescent="0.2">
      <c r="A117" s="136">
        <v>43313.25</v>
      </c>
      <c r="B117" s="135">
        <v>68.06</v>
      </c>
      <c r="C117" s="135">
        <v>48.55</v>
      </c>
      <c r="D117" s="135">
        <v>-19.510000000000002</v>
      </c>
      <c r="E117" s="137">
        <f t="shared" si="4"/>
        <v>-39.510000000000005</v>
      </c>
      <c r="F117" s="137">
        <f t="shared" si="5"/>
        <v>-35.510000000000005</v>
      </c>
      <c r="G117" s="135">
        <v>67.540000000000006</v>
      </c>
      <c r="H117" s="135">
        <v>63.27</v>
      </c>
      <c r="I117" s="135">
        <f t="shared" si="6"/>
        <v>-4.2700000000000031</v>
      </c>
      <c r="J117" s="137">
        <f t="shared" si="7"/>
        <v>15.239999999999998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2:AT22"/>
  <sheetViews>
    <sheetView showGridLines="0" view="pageBreakPreview" zoomScaleNormal="100" zoomScaleSheetLayoutView="100" workbookViewId="0">
      <selection activeCell="G11" sqref="G1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t="s">
        <v>465</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0">
        <v>0.06</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+SUM(E21:AT21)</f>
        <v>1773.8586357054376</v>
      </c>
      <c r="F12" s="1"/>
      <c r="G12" s="1"/>
      <c r="H12" s="1"/>
      <c r="I12" s="1"/>
      <c r="J12" s="1"/>
      <c r="K12" s="1"/>
      <c r="L12" s="1"/>
      <c r="M12" s="1"/>
      <c r="N12" s="1"/>
      <c r="O12" s="1"/>
      <c r="P12" s="1"/>
    </row>
    <row r="13" spans="3:46" x14ac:dyDescent="0.2">
      <c r="C13" s="28" t="s">
        <v>302</v>
      </c>
      <c r="D13" s="25"/>
      <c r="E13" s="29">
        <v>1762</v>
      </c>
      <c r="F13" s="1"/>
      <c r="G13" s="1"/>
      <c r="H13" s="1"/>
      <c r="I13" s="1"/>
      <c r="J13" s="1"/>
      <c r="K13" s="1"/>
      <c r="L13" s="1"/>
      <c r="M13" s="1"/>
      <c r="N13" s="1"/>
      <c r="O13" s="1"/>
      <c r="P13" s="1"/>
    </row>
    <row r="14" spans="3:46" x14ac:dyDescent="0.2">
      <c r="C14" s="32" t="s">
        <v>2</v>
      </c>
      <c r="D14" s="30"/>
      <c r="E14" s="31">
        <f>+E12-E13</f>
        <v>11.858635705437564</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 t="shared" ref="G18:P18" si="0">+F18+1</f>
        <v>2020</v>
      </c>
      <c r="H18" s="3">
        <f t="shared" si="0"/>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11" t="s">
        <v>312</v>
      </c>
      <c r="E19" s="7">
        <v>72</v>
      </c>
      <c r="F19" s="7">
        <v>149</v>
      </c>
      <c r="G19" s="7">
        <v>161</v>
      </c>
      <c r="H19" s="7">
        <v>162</v>
      </c>
      <c r="I19" s="7">
        <v>129</v>
      </c>
      <c r="J19" s="7">
        <v>128</v>
      </c>
      <c r="K19" s="7">
        <v>129</v>
      </c>
      <c r="L19" s="7">
        <v>127</v>
      </c>
      <c r="M19" s="10">
        <f>+L19-(($L$19-$Q$19)/($Q$18-$L$18))</f>
        <v>125</v>
      </c>
      <c r="N19" s="10">
        <f t="shared" ref="N19:P19" si="2">+M19-(($L$19-$Q$19)/($Q$18-$L$18))</f>
        <v>123</v>
      </c>
      <c r="O19" s="10">
        <f t="shared" si="2"/>
        <v>121</v>
      </c>
      <c r="P19" s="10">
        <f t="shared" si="2"/>
        <v>119</v>
      </c>
      <c r="Q19" s="7">
        <v>117</v>
      </c>
      <c r="R19" s="10">
        <f>+Q19-(($Q$19-$AA$19)/($AA$18-$Q$18))</f>
        <v>113.7</v>
      </c>
      <c r="S19" s="10">
        <f t="shared" ref="S19:Z19" si="3">+R19-(($Q$19-$AA$19)/($AA$18-$Q$18))</f>
        <v>110.4</v>
      </c>
      <c r="T19" s="10">
        <f>+S19-(($Q$19-$AA$19)/($AA$18-$Q$18))</f>
        <v>107.10000000000001</v>
      </c>
      <c r="U19" s="10">
        <f>+T19-(($Q$19-$AA$19)/($AA$18-$Q$18))</f>
        <v>103.80000000000001</v>
      </c>
      <c r="V19" s="10">
        <f t="shared" si="3"/>
        <v>100.50000000000001</v>
      </c>
      <c r="W19" s="10">
        <f t="shared" si="3"/>
        <v>97.200000000000017</v>
      </c>
      <c r="X19" s="10">
        <f t="shared" si="3"/>
        <v>93.90000000000002</v>
      </c>
      <c r="Y19" s="10">
        <f t="shared" si="3"/>
        <v>90.600000000000023</v>
      </c>
      <c r="Z19" s="10">
        <f t="shared" si="3"/>
        <v>87.300000000000026</v>
      </c>
      <c r="AA19" s="7">
        <v>84</v>
      </c>
      <c r="AB19" s="10">
        <f>+AA19-(($AA$19-$AK$19)/($AK$18-$AA$18))</f>
        <v>81.3</v>
      </c>
      <c r="AC19" s="10">
        <f t="shared" ref="AC19:AJ19" si="4">+AB19-(($AA$19-$AK$19)/($AK$18-$AA$18))</f>
        <v>78.599999999999994</v>
      </c>
      <c r="AD19" s="10">
        <f t="shared" si="4"/>
        <v>75.899999999999991</v>
      </c>
      <c r="AE19" s="10">
        <f t="shared" si="4"/>
        <v>73.199999999999989</v>
      </c>
      <c r="AF19" s="10">
        <f t="shared" si="4"/>
        <v>70.499999999999986</v>
      </c>
      <c r="AG19" s="10">
        <f t="shared" si="4"/>
        <v>67.799999999999983</v>
      </c>
      <c r="AH19" s="10">
        <f t="shared" si="4"/>
        <v>65.09999999999998</v>
      </c>
      <c r="AI19" s="10">
        <f t="shared" si="4"/>
        <v>62.399999999999977</v>
      </c>
      <c r="AJ19" s="10">
        <f t="shared" si="4"/>
        <v>59.699999999999974</v>
      </c>
      <c r="AK19" s="7">
        <v>57</v>
      </c>
      <c r="AL19" s="10">
        <f>+AK19-(($AK$19-$AT$19)/($AT$18-$AK$18))</f>
        <v>56.555555555555557</v>
      </c>
      <c r="AM19" s="10">
        <f t="shared" ref="AM19:AS19" si="5">+AL19-(($AK$19-$AT$19)/($AT$18-$AK$18))</f>
        <v>56.111111111111114</v>
      </c>
      <c r="AN19" s="10">
        <f t="shared" si="5"/>
        <v>55.666666666666671</v>
      </c>
      <c r="AO19" s="10">
        <f t="shared" si="5"/>
        <v>55.222222222222229</v>
      </c>
      <c r="AP19" s="10">
        <f t="shared" si="5"/>
        <v>54.777777777777786</v>
      </c>
      <c r="AQ19" s="10">
        <f t="shared" si="5"/>
        <v>54.333333333333343</v>
      </c>
      <c r="AR19" s="10">
        <f t="shared" si="5"/>
        <v>53.8888888888889</v>
      </c>
      <c r="AS19" s="10">
        <f t="shared" si="5"/>
        <v>53.444444444444457</v>
      </c>
      <c r="AT19" s="7">
        <v>53</v>
      </c>
    </row>
    <row r="20" spans="3:46" s="5" customFormat="1" x14ac:dyDescent="0.2">
      <c r="C20" s="12" t="str">
        <f>+CONCATENATE("facteur d'escompte @ ",E10*100,"%")</f>
        <v>facteur d'escompte @ 6%</v>
      </c>
      <c r="E20" s="6">
        <f t="shared" ref="E20:AT20" si="6">+(1+$E$10)^-(E18-($E$18))</f>
        <v>1</v>
      </c>
      <c r="F20" s="6">
        <f>+(1+$E$10)^-(F18-($E$18))</f>
        <v>0.94339622641509424</v>
      </c>
      <c r="G20" s="6">
        <f t="shared" si="6"/>
        <v>0.88999644001423983</v>
      </c>
      <c r="H20" s="6">
        <f t="shared" si="6"/>
        <v>0.8396192830323016</v>
      </c>
      <c r="I20" s="6">
        <f t="shared" si="6"/>
        <v>0.79209366323802044</v>
      </c>
      <c r="J20" s="6">
        <f t="shared" si="6"/>
        <v>0.74725817286605689</v>
      </c>
      <c r="K20" s="6">
        <f t="shared" si="6"/>
        <v>0.70496054043967626</v>
      </c>
      <c r="L20" s="6">
        <f t="shared" si="6"/>
        <v>0.66505711362233599</v>
      </c>
      <c r="M20" s="6">
        <f t="shared" si="6"/>
        <v>0.62741237134182648</v>
      </c>
      <c r="N20" s="6">
        <f t="shared" si="6"/>
        <v>0.59189846353002495</v>
      </c>
      <c r="O20" s="6">
        <f t="shared" si="6"/>
        <v>0.55839477691511785</v>
      </c>
      <c r="P20" s="6">
        <f t="shared" si="6"/>
        <v>0.52678752539162055</v>
      </c>
      <c r="Q20" s="6">
        <f t="shared" si="6"/>
        <v>0.4969693635770005</v>
      </c>
      <c r="R20" s="6">
        <f t="shared" si="6"/>
        <v>0.46883902224245327</v>
      </c>
      <c r="S20" s="6">
        <f t="shared" si="6"/>
        <v>0.44230096437967292</v>
      </c>
      <c r="T20" s="6">
        <f t="shared" si="6"/>
        <v>0.41726506073554037</v>
      </c>
      <c r="U20" s="6">
        <f t="shared" si="6"/>
        <v>0.39364628371277405</v>
      </c>
      <c r="V20" s="6">
        <f t="shared" si="6"/>
        <v>0.37136441859695657</v>
      </c>
      <c r="W20" s="6">
        <f t="shared" si="6"/>
        <v>0.35034379112920433</v>
      </c>
      <c r="X20" s="6">
        <f t="shared" si="6"/>
        <v>0.3305130104992493</v>
      </c>
      <c r="Y20" s="6">
        <f t="shared" si="6"/>
        <v>0.31180472688608429</v>
      </c>
      <c r="Z20" s="6">
        <f t="shared" si="6"/>
        <v>0.29415540272272095</v>
      </c>
      <c r="AA20" s="6">
        <f t="shared" si="6"/>
        <v>0.27750509690822728</v>
      </c>
      <c r="AB20" s="6">
        <f t="shared" si="6"/>
        <v>0.26179726123417668</v>
      </c>
      <c r="AC20" s="6">
        <f t="shared" si="6"/>
        <v>0.24697854833412897</v>
      </c>
      <c r="AD20" s="6">
        <f t="shared" si="6"/>
        <v>0.23299863050389524</v>
      </c>
      <c r="AE20" s="6">
        <f t="shared" si="6"/>
        <v>0.21981002877725966</v>
      </c>
      <c r="AF20" s="6">
        <f t="shared" si="6"/>
        <v>0.20736795167666003</v>
      </c>
      <c r="AG20" s="6">
        <f t="shared" si="6"/>
        <v>0.1956301430911887</v>
      </c>
      <c r="AH20" s="6">
        <f t="shared" si="6"/>
        <v>0.18455673876527234</v>
      </c>
      <c r="AI20" s="6">
        <f t="shared" si="6"/>
        <v>0.17411013091063426</v>
      </c>
      <c r="AJ20" s="6">
        <f t="shared" si="6"/>
        <v>0.16425484048173042</v>
      </c>
      <c r="AK20" s="6">
        <f t="shared" si="6"/>
        <v>0.15495739668087777</v>
      </c>
      <c r="AL20" s="6">
        <f t="shared" si="6"/>
        <v>0.14618622328384695</v>
      </c>
      <c r="AM20" s="6">
        <f t="shared" si="6"/>
        <v>0.1379115313998556</v>
      </c>
      <c r="AN20" s="6">
        <f t="shared" si="6"/>
        <v>0.13010521830175056</v>
      </c>
      <c r="AO20" s="6">
        <f t="shared" si="6"/>
        <v>0.12274077198278353</v>
      </c>
      <c r="AP20" s="6">
        <f t="shared" si="6"/>
        <v>0.11579318111583352</v>
      </c>
      <c r="AQ20" s="6">
        <f t="shared" si="6"/>
        <v>0.10923885010927689</v>
      </c>
      <c r="AR20" s="6">
        <f t="shared" si="6"/>
        <v>0.10305551897101592</v>
      </c>
      <c r="AS20" s="6">
        <f t="shared" si="6"/>
        <v>9.7222187708505589E-2</v>
      </c>
      <c r="AT20" s="6">
        <f t="shared" si="6"/>
        <v>9.171904500802415E-2</v>
      </c>
    </row>
    <row r="21" spans="3:46" x14ac:dyDescent="0.2">
      <c r="C21" s="20" t="s">
        <v>303</v>
      </c>
      <c r="D21" s="21"/>
      <c r="E21" s="22">
        <f t="shared" ref="E21" si="7">+E19*E20</f>
        <v>72</v>
      </c>
      <c r="F21" s="22">
        <f t="shared" ref="F21" si="8">+F19*F20</f>
        <v>140.56603773584905</v>
      </c>
      <c r="G21" s="22">
        <f t="shared" ref="G21" si="9">+G19*G20</f>
        <v>143.28942684229261</v>
      </c>
      <c r="H21" s="22">
        <f t="shared" ref="H21" si="10">+H19*H20</f>
        <v>136.01832385123285</v>
      </c>
      <c r="I21" s="22">
        <f t="shared" ref="I21" si="11">+I19*I20</f>
        <v>102.18008255770464</v>
      </c>
      <c r="J21" s="22">
        <f t="shared" ref="J21" si="12">+J19*J20</f>
        <v>95.649046126855282</v>
      </c>
      <c r="K21" s="22">
        <f t="shared" ref="K21" si="13">+K19*K20</f>
        <v>90.939909716718233</v>
      </c>
      <c r="L21" s="22">
        <f t="shared" ref="L21" si="14">+L19*L20</f>
        <v>84.462253430036668</v>
      </c>
      <c r="M21" s="22">
        <f t="shared" ref="M21" si="15">+M19*M20</f>
        <v>78.426546417728304</v>
      </c>
      <c r="N21" s="22">
        <f t="shared" ref="N21" si="16">+N19*N20</f>
        <v>72.803511014193063</v>
      </c>
      <c r="O21" s="22">
        <f t="shared" ref="O21" si="17">+O19*O20</f>
        <v>67.565768006729257</v>
      </c>
      <c r="P21" s="22">
        <f t="shared" ref="P21" si="18">+P19*P20</f>
        <v>62.687715521602847</v>
      </c>
      <c r="Q21" s="22">
        <f t="shared" ref="Q21" si="19">+Q19*Q20</f>
        <v>58.145415538509056</v>
      </c>
      <c r="R21" s="22">
        <f t="shared" ref="R21" si="20">+R19*R20</f>
        <v>53.306996828966938</v>
      </c>
      <c r="S21" s="22">
        <f t="shared" ref="S21" si="21">+S19*S20</f>
        <v>48.830026467515893</v>
      </c>
      <c r="T21" s="22">
        <f t="shared" ref="T21" si="22">+T19*T20</f>
        <v>44.68908800477638</v>
      </c>
      <c r="U21" s="22">
        <f t="shared" ref="U21" si="23">+U19*U20</f>
        <v>40.860484249385948</v>
      </c>
      <c r="V21" s="22">
        <f t="shared" ref="V21" si="24">+V19*V20</f>
        <v>37.322124068994142</v>
      </c>
      <c r="W21" s="22">
        <f t="shared" ref="W21" si="25">+W19*W20</f>
        <v>34.053416497758668</v>
      </c>
      <c r="X21" s="22">
        <f t="shared" ref="X21" si="26">+X19*X20</f>
        <v>31.035171685879515</v>
      </c>
      <c r="Y21" s="22">
        <f t="shared" ref="Y21" si="27">+Y19*Y20</f>
        <v>28.249508255879245</v>
      </c>
      <c r="Z21" s="22">
        <f t="shared" ref="Z21" si="28">+Z19*Z20</f>
        <v>25.679766657693545</v>
      </c>
      <c r="AA21" s="22">
        <f t="shared" ref="AA21" si="29">+AA19*AA20</f>
        <v>23.310428140291091</v>
      </c>
      <c r="AB21" s="22">
        <f t="shared" ref="AB21" si="30">+AB19*AB20</f>
        <v>21.284117338338564</v>
      </c>
      <c r="AC21" s="22">
        <f t="shared" ref="AC21" si="31">+AC19*AC20</f>
        <v>19.412513899062535</v>
      </c>
      <c r="AD21" s="22">
        <f t="shared" ref="AD21" si="32">+AD19*AD20</f>
        <v>17.684596055245645</v>
      </c>
      <c r="AE21" s="22">
        <f t="shared" ref="AE21" si="33">+AE19*AE20</f>
        <v>16.090094106495403</v>
      </c>
      <c r="AF21" s="22">
        <f t="shared" ref="AF21" si="34">+AF19*AF20</f>
        <v>14.61944059320453</v>
      </c>
      <c r="AG21" s="22">
        <f t="shared" ref="AG21" si="35">+AG19*AG20</f>
        <v>13.26372370158259</v>
      </c>
      <c r="AH21" s="22">
        <f t="shared" ref="AH21" si="36">+AH19*AH20</f>
        <v>12.014643693619226</v>
      </c>
      <c r="AI21" s="22">
        <f t="shared" ref="AI21" si="37">+AI19*AI20</f>
        <v>10.864472168823575</v>
      </c>
      <c r="AJ21" s="22">
        <f t="shared" ref="AJ21" si="38">+AJ19*AJ20</f>
        <v>9.8060139767593011</v>
      </c>
      <c r="AK21" s="22">
        <f t="shared" ref="AK21" si="39">+AK19*AK20</f>
        <v>8.8325716108100334</v>
      </c>
      <c r="AL21" s="22">
        <f t="shared" ref="AL21" si="40">+AL19*AL20</f>
        <v>8.2676430723864556</v>
      </c>
      <c r="AM21" s="22">
        <f t="shared" ref="AM21" si="41">+AM19*AM20</f>
        <v>7.7383692618807869</v>
      </c>
      <c r="AN21" s="22">
        <f t="shared" ref="AN21" si="42">+AN19*AN20</f>
        <v>7.2425238187974488</v>
      </c>
      <c r="AO21" s="22">
        <f t="shared" ref="AO21" si="43">+AO19*AO20</f>
        <v>6.7780181861603808</v>
      </c>
      <c r="AP21" s="22">
        <f t="shared" ref="AP21" si="44">+AP19*AP20</f>
        <v>6.3428931433451039</v>
      </c>
      <c r="AQ21" s="22">
        <f t="shared" ref="AQ21" si="45">+AQ19*AQ20</f>
        <v>5.9353108559373791</v>
      </c>
      <c r="AR21" s="22">
        <f t="shared" ref="AR21" si="46">+AR19*AR20</f>
        <v>5.5535474112158587</v>
      </c>
      <c r="AS21" s="22">
        <f t="shared" ref="AS21" si="47">+AS19*AS20</f>
        <v>5.1959858097545775</v>
      </c>
      <c r="AT21" s="23">
        <f t="shared" ref="AT21" si="48">+AT19*AT20</f>
        <v>4.86110938542528</v>
      </c>
    </row>
    <row r="22" spans="3:46" s="5" customFormat="1" x14ac:dyDescent="0.2">
      <c r="C22" s="12" t="s">
        <v>313</v>
      </c>
      <c r="E22" s="24">
        <f>+SUM($E$21:E21)</f>
        <v>72</v>
      </c>
      <c r="F22" s="24">
        <f>+SUM($E$21:F21)</f>
        <v>212.56603773584905</v>
      </c>
      <c r="G22" s="24">
        <f>+SUM($E$21:G21)</f>
        <v>355.85546457814166</v>
      </c>
      <c r="H22" s="24">
        <f>+SUM($E$21:H21)</f>
        <v>491.87378842937449</v>
      </c>
      <c r="I22" s="24">
        <f>+SUM($E$21:I21)</f>
        <v>594.05387098707911</v>
      </c>
      <c r="J22" s="24">
        <f>+SUM($E$21:J21)</f>
        <v>689.7029171139344</v>
      </c>
      <c r="K22" s="24">
        <f>+SUM($E$21:K21)</f>
        <v>780.64282683065267</v>
      </c>
      <c r="L22" s="24">
        <f>+SUM($E$21:L21)</f>
        <v>865.10508026068931</v>
      </c>
      <c r="M22" s="24">
        <f>+SUM($E$21:M21)</f>
        <v>943.53162667841764</v>
      </c>
      <c r="N22" s="24">
        <f>+SUM($E$21:N21)</f>
        <v>1016.3351376926107</v>
      </c>
      <c r="O22" s="24">
        <f>+SUM($E$21:O21)</f>
        <v>1083.90090569934</v>
      </c>
      <c r="P22" s="24">
        <f>+SUM($E$21:P21)</f>
        <v>1146.5886212209427</v>
      </c>
      <c r="Q22" s="24">
        <f>+SUM($E$21:Q21)</f>
        <v>1204.7340367594518</v>
      </c>
      <c r="R22" s="24">
        <f>+SUM($E$21:R21)</f>
        <v>1258.0410335884187</v>
      </c>
      <c r="S22" s="24">
        <f>+SUM($E$21:S21)</f>
        <v>1306.8710600559345</v>
      </c>
      <c r="T22" s="24">
        <f>+SUM($E$21:T21)</f>
        <v>1351.5601480607108</v>
      </c>
      <c r="U22" s="24">
        <f>+SUM($E$21:U21)</f>
        <v>1392.4206323100968</v>
      </c>
      <c r="V22" s="24">
        <f>+SUM($E$21:V21)</f>
        <v>1429.7427563790909</v>
      </c>
      <c r="W22" s="24">
        <f>+SUM($E$21:W21)</f>
        <v>1463.7961728768496</v>
      </c>
      <c r="X22" s="24">
        <f>+SUM($E$21:X21)</f>
        <v>1494.8313445627291</v>
      </c>
      <c r="Y22" s="24">
        <f>+SUM($E$21:Y21)</f>
        <v>1523.0808528186083</v>
      </c>
      <c r="Z22" s="24">
        <f>+SUM($E$21:Z21)</f>
        <v>1548.7606194763018</v>
      </c>
      <c r="AA22" s="24">
        <f>+SUM($E$21:AA21)</f>
        <v>1572.071047616593</v>
      </c>
      <c r="AB22" s="24">
        <f>+SUM($E$21:AB21)</f>
        <v>1593.3551649549315</v>
      </c>
      <c r="AC22" s="24">
        <f>+SUM($E$21:AC21)</f>
        <v>1612.7676788539941</v>
      </c>
      <c r="AD22" s="24">
        <f>+SUM($E$21:AD21)</f>
        <v>1630.4522749092398</v>
      </c>
      <c r="AE22" s="24">
        <f>+SUM($E$21:AE21)</f>
        <v>1646.5423690157352</v>
      </c>
      <c r="AF22" s="24">
        <f>+SUM($E$21:AF21)</f>
        <v>1661.1618096089396</v>
      </c>
      <c r="AG22" s="24">
        <f>+SUM($E$21:AG21)</f>
        <v>1674.4255333105223</v>
      </c>
      <c r="AH22" s="24">
        <f>+SUM($E$21:AH21)</f>
        <v>1686.4401770041416</v>
      </c>
      <c r="AI22" s="24">
        <f>+SUM($E$21:AI21)</f>
        <v>1697.3046491729651</v>
      </c>
      <c r="AJ22" s="24">
        <f>+SUM($E$21:AJ21)</f>
        <v>1707.1106631497244</v>
      </c>
      <c r="AK22" s="24">
        <f>+SUM($E$21:AK21)</f>
        <v>1715.9432347605343</v>
      </c>
      <c r="AL22" s="24">
        <f>+SUM($E$21:AL21)</f>
        <v>1724.2108778329207</v>
      </c>
      <c r="AM22" s="24">
        <f>+SUM($E$21:AM21)</f>
        <v>1731.9492470948014</v>
      </c>
      <c r="AN22" s="24">
        <f>+SUM($E$21:AN21)</f>
        <v>1739.1917709135989</v>
      </c>
      <c r="AO22" s="24">
        <f>+SUM($E$21:AO21)</f>
        <v>1745.9697890997593</v>
      </c>
      <c r="AP22" s="24">
        <f>+SUM($E$21:AP21)</f>
        <v>1752.3126822431043</v>
      </c>
      <c r="AQ22" s="24">
        <f>+SUM($E$21:AQ21)</f>
        <v>1758.2479930990417</v>
      </c>
      <c r="AR22" s="24">
        <f>+SUM($E$21:AR21)</f>
        <v>1763.8015405102576</v>
      </c>
      <c r="AS22" s="24">
        <f>+SUM($E$21:AS21)</f>
        <v>1768.9975263200122</v>
      </c>
      <c r="AT22" s="24">
        <f>+SUM($E$21:AT21)</f>
        <v>1773.8586357054376</v>
      </c>
    </row>
  </sheetData>
  <pageMargins left="0.7" right="0.7" top="0.75" bottom="0.75" header="0.3" footer="0.3"/>
  <pageSetup scale="30"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BD0B-9736-46DB-9C4A-DD13F57E06F2}">
  <sheetPr codeName="Sheet15"/>
  <dimension ref="C2:AT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7.140625" bestFit="1" customWidth="1"/>
    <col min="6" max="9" width="7.28515625" bestFit="1"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1">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+SUM(E24:AS24)</f>
        <v>2777.6067439788926</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1383.6067439788926</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s="73" customFormat="1" x14ac:dyDescent="0.2">
      <c r="C19" s="73" t="s">
        <v>308</v>
      </c>
      <c r="E19" s="77">
        <f>0.924*726</f>
        <v>670.82400000000007</v>
      </c>
      <c r="F19" s="77">
        <f>0.924*1802</f>
        <v>1665.048</v>
      </c>
      <c r="G19" s="77">
        <f>0.924*3075</f>
        <v>2841.3</v>
      </c>
      <c r="H19" s="77">
        <f>0.924*1377</f>
        <v>1272.348</v>
      </c>
      <c r="I19" s="77">
        <f>0.924*37</f>
        <v>34.188000000000002</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s="73" customFormat="1" x14ac:dyDescent="0.2">
      <c r="C20" s="73" t="s">
        <v>309</v>
      </c>
      <c r="E20" s="82">
        <v>1</v>
      </c>
      <c r="F20" s="82">
        <v>6</v>
      </c>
      <c r="G20" s="82">
        <v>9</v>
      </c>
      <c r="H20" s="82">
        <v>974</v>
      </c>
      <c r="I20" s="82">
        <v>1074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
        <f>E20-E19</f>
        <v>-669.82400000000007</v>
      </c>
      <c r="F21" s="75">
        <f t="shared" ref="F21:I21" si="2">F20-F19</f>
        <v>-1659.048</v>
      </c>
      <c r="G21" s="75">
        <f t="shared" si="2"/>
        <v>-2832.3</v>
      </c>
      <c r="H21" s="75">
        <f t="shared" si="2"/>
        <v>-298.34799999999996</v>
      </c>
      <c r="I21" s="75">
        <f t="shared" si="2"/>
        <v>1039.8119999999999</v>
      </c>
      <c r="J21" s="7">
        <v>993</v>
      </c>
      <c r="K21" s="7">
        <v>1003</v>
      </c>
      <c r="L21" s="10">
        <f>+K21-(($K$21-$P$21)/($P$18-$K$18))</f>
        <v>1016</v>
      </c>
      <c r="M21" s="10">
        <f>+L21-(($K$21-$P$21)/($P$18-$K$18))</f>
        <v>1029</v>
      </c>
      <c r="N21" s="10">
        <f>+M21-(($K$21-$P$21)/($P$18-$K$18))</f>
        <v>1042</v>
      </c>
      <c r="O21" s="10">
        <f>+N21-(($K$21-$P$21)/($P$18-$K$18))</f>
        <v>1055</v>
      </c>
      <c r="P21" s="7">
        <v>1068</v>
      </c>
      <c r="Q21" s="10">
        <f t="shared" ref="Q21:Y21" si="3">+P21-(($P$21-$Z$21)/($Z$18-$P$18))</f>
        <v>1095.2</v>
      </c>
      <c r="R21" s="10">
        <f t="shared" si="3"/>
        <v>1122.4000000000001</v>
      </c>
      <c r="S21" s="10">
        <f t="shared" si="3"/>
        <v>1149.6000000000001</v>
      </c>
      <c r="T21" s="10">
        <f t="shared" si="3"/>
        <v>1176.8000000000002</v>
      </c>
      <c r="U21" s="10">
        <f t="shared" si="3"/>
        <v>1204.0000000000002</v>
      </c>
      <c r="V21" s="10">
        <f t="shared" si="3"/>
        <v>1231.2000000000003</v>
      </c>
      <c r="W21" s="10">
        <f t="shared" si="3"/>
        <v>1258.4000000000003</v>
      </c>
      <c r="X21" s="10">
        <f t="shared" si="3"/>
        <v>1285.6000000000004</v>
      </c>
      <c r="Y21" s="10">
        <f t="shared" si="3"/>
        <v>1312.8000000000004</v>
      </c>
      <c r="Z21" s="7">
        <v>1340</v>
      </c>
      <c r="AA21" s="10">
        <f t="shared" ref="AA21:AI21" si="4">+Z21-(($Z$21-$AJ$21)/($AJ$18-$Z$18))</f>
        <v>1247.7</v>
      </c>
      <c r="AB21" s="10">
        <f t="shared" si="4"/>
        <v>1155.4000000000001</v>
      </c>
      <c r="AC21" s="10">
        <f t="shared" si="4"/>
        <v>1063.1000000000001</v>
      </c>
      <c r="AD21" s="10">
        <f t="shared" si="4"/>
        <v>970.80000000000018</v>
      </c>
      <c r="AE21" s="10">
        <f t="shared" si="4"/>
        <v>878.50000000000023</v>
      </c>
      <c r="AF21" s="10">
        <f t="shared" si="4"/>
        <v>786.20000000000027</v>
      </c>
      <c r="AG21" s="10">
        <f t="shared" si="4"/>
        <v>693.90000000000032</v>
      </c>
      <c r="AH21" s="10">
        <f t="shared" si="4"/>
        <v>601.60000000000036</v>
      </c>
      <c r="AI21" s="10">
        <f t="shared" si="4"/>
        <v>509.30000000000035</v>
      </c>
      <c r="AJ21" s="7">
        <v>417</v>
      </c>
      <c r="AK21" s="10">
        <f t="shared" ref="AK21:AR21" si="5">+AJ21-(($AJ$21-$AS$21)/($AS$18-$AJ$18))</f>
        <v>379.44444444444446</v>
      </c>
      <c r="AL21" s="10">
        <f t="shared" si="5"/>
        <v>341.88888888888891</v>
      </c>
      <c r="AM21" s="10">
        <f t="shared" si="5"/>
        <v>304.33333333333337</v>
      </c>
      <c r="AN21" s="10">
        <f t="shared" si="5"/>
        <v>266.77777777777783</v>
      </c>
      <c r="AO21" s="10">
        <f t="shared" si="5"/>
        <v>229.22222222222229</v>
      </c>
      <c r="AP21" s="10">
        <f t="shared" si="5"/>
        <v>191.66666666666674</v>
      </c>
      <c r="AQ21" s="10">
        <f t="shared" si="5"/>
        <v>154.1111111111112</v>
      </c>
      <c r="AR21" s="10">
        <f t="shared" si="5"/>
        <v>116.55555555555564</v>
      </c>
      <c r="AS21" s="7">
        <v>79</v>
      </c>
      <c r="AT21" s="7">
        <v>79</v>
      </c>
    </row>
    <row r="22" spans="3:46" x14ac:dyDescent="0.2">
      <c r="C22" s="11" t="s">
        <v>310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row>
    <row r="23" spans="3:46" s="5" customFormat="1" x14ac:dyDescent="0.2">
      <c r="C23" s="12" t="str">
        <f>+CONCATENATE("Facteur d'escompte @ ",E10*100,"%")</f>
        <v>Facteur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 t="shared" ref="E24:AT24" si="7">+SUM(E21,E22)*E23</f>
        <v>-669.82400000000007</v>
      </c>
      <c r="F24" s="22">
        <f t="shared" si="7"/>
        <v>-1508.2254545454546</v>
      </c>
      <c r="G24" s="22">
        <f t="shared" si="7"/>
        <v>-2340.7438016528927</v>
      </c>
      <c r="H24" s="22">
        <f t="shared" si="7"/>
        <v>-224.15326821938382</v>
      </c>
      <c r="I24" s="22">
        <f t="shared" si="7"/>
        <v>710.20558705006465</v>
      </c>
      <c r="J24" s="22">
        <f t="shared" si="7"/>
        <v>616.57487379774079</v>
      </c>
      <c r="K24" s="22">
        <f t="shared" si="7"/>
        <v>566.1673518439386</v>
      </c>
      <c r="L24" s="22">
        <f t="shared" si="7"/>
        <v>521.36864812239776</v>
      </c>
      <c r="M24" s="22">
        <f t="shared" si="7"/>
        <v>480.03609423581543</v>
      </c>
      <c r="N24" s="22">
        <f t="shared" si="7"/>
        <v>441.90971834412903</v>
      </c>
      <c r="O24" s="22">
        <f t="shared" si="7"/>
        <v>406.74817034815572</v>
      </c>
      <c r="P24" s="22">
        <f t="shared" si="7"/>
        <v>374.32748464612689</v>
      </c>
      <c r="Q24" s="22">
        <f t="shared" si="7"/>
        <v>348.96447155638253</v>
      </c>
      <c r="R24" s="22">
        <f t="shared" si="7"/>
        <v>325.11929981645841</v>
      </c>
      <c r="S24" s="22">
        <f t="shared" si="7"/>
        <v>302.7256099502693</v>
      </c>
      <c r="T24" s="22">
        <f t="shared" si="7"/>
        <v>281.7165636976315</v>
      </c>
      <c r="U24" s="22">
        <f t="shared" si="7"/>
        <v>262.0254794913389</v>
      </c>
      <c r="V24" s="22">
        <f t="shared" si="7"/>
        <v>243.58635634984628</v>
      </c>
      <c r="W24" s="22">
        <f t="shared" si="7"/>
        <v>226.33430122175452</v>
      </c>
      <c r="X24" s="22">
        <f t="shared" si="7"/>
        <v>210.2058730066228</v>
      </c>
      <c r="Y24" s="22">
        <f t="shared" si="7"/>
        <v>195.13935487009564</v>
      </c>
      <c r="Z24" s="22">
        <f t="shared" si="7"/>
        <v>181.07496504759297</v>
      </c>
      <c r="AA24" s="22">
        <f t="shared" si="7"/>
        <v>153.27492122787089</v>
      </c>
      <c r="AB24" s="22">
        <f t="shared" si="7"/>
        <v>129.03294351547359</v>
      </c>
      <c r="AC24" s="22">
        <f t="shared" si="7"/>
        <v>107.93186322824052</v>
      </c>
      <c r="AD24" s="22">
        <f t="shared" si="7"/>
        <v>89.60095503029379</v>
      </c>
      <c r="AE24" s="22">
        <f t="shared" si="7"/>
        <v>73.710940362318894</v>
      </c>
      <c r="AF24" s="22">
        <f t="shared" si="7"/>
        <v>59.969515509758487</v>
      </c>
      <c r="AG24" s="22">
        <f t="shared" si="7"/>
        <v>48.117350214173371</v>
      </c>
      <c r="AH24" s="22">
        <f t="shared" si="7"/>
        <v>37.924508232580941</v>
      </c>
      <c r="AI24" s="22">
        <f t="shared" si="7"/>
        <v>29.187246196284864</v>
      </c>
      <c r="AJ24" s="22">
        <f t="shared" si="7"/>
        <v>21.725151569624582</v>
      </c>
      <c r="AK24" s="22">
        <f t="shared" si="7"/>
        <v>17.971415015930997</v>
      </c>
      <c r="AL24" s="22">
        <f t="shared" si="7"/>
        <v>14.720629310267451</v>
      </c>
      <c r="AM24" s="22">
        <f t="shared" si="7"/>
        <v>11.912371460047435</v>
      </c>
      <c r="AN24" s="22">
        <f t="shared" si="7"/>
        <v>9.4930478527577709</v>
      </c>
      <c r="AO24" s="22">
        <f t="shared" si="7"/>
        <v>7.415151914065838</v>
      </c>
      <c r="AP24" s="22">
        <f t="shared" si="7"/>
        <v>5.6366002960223733</v>
      </c>
      <c r="AQ24" s="22">
        <f t="shared" si="7"/>
        <v>4.1201394522176713</v>
      </c>
      <c r="AR24" s="22">
        <f t="shared" si="7"/>
        <v>2.8328152883111604</v>
      </c>
      <c r="AS24" s="22">
        <f t="shared" si="7"/>
        <v>1.745499324022215</v>
      </c>
      <c r="AT24" s="22">
        <f t="shared" si="7"/>
        <v>1.5868175672929223</v>
      </c>
    </row>
    <row r="25" spans="3:46" s="5" customFormat="1" x14ac:dyDescent="0.2">
      <c r="C25" s="12" t="s">
        <v>313</v>
      </c>
      <c r="E25" s="24">
        <f>+SUM($E$24:E24)</f>
        <v>-669.82400000000007</v>
      </c>
      <c r="F25" s="24">
        <f>+SUM($E$24:F24)</f>
        <v>-2178.0494545454549</v>
      </c>
      <c r="G25" s="24">
        <f>+SUM($E$24:G24)</f>
        <v>-4518.7932561983471</v>
      </c>
      <c r="H25" s="24">
        <f>+SUM($E$24:H24)</f>
        <v>-4742.9465244177309</v>
      </c>
      <c r="I25" s="24">
        <f>+SUM($E$24:I24)</f>
        <v>-4032.7409373676664</v>
      </c>
      <c r="J25" s="24">
        <f>+SUM($E$24:J24)</f>
        <v>-3416.1660635699254</v>
      </c>
      <c r="K25" s="24">
        <f>+SUM($E$24:K24)</f>
        <v>-2849.9987117259871</v>
      </c>
      <c r="L25" s="24">
        <f>+SUM($E$24:L24)</f>
        <v>-2328.6300636035894</v>
      </c>
      <c r="M25" s="24">
        <f>+SUM($E$24:M24)</f>
        <v>-1848.593969367774</v>
      </c>
      <c r="N25" s="24">
        <f>+SUM($E$24:N24)</f>
        <v>-1406.6842510236449</v>
      </c>
      <c r="O25" s="24">
        <f>+SUM($E$24:O24)</f>
        <v>-999.93608067548917</v>
      </c>
      <c r="P25" s="24">
        <f>+SUM($E$24:P24)</f>
        <v>-625.60859602936227</v>
      </c>
      <c r="Q25" s="24">
        <f>+SUM($E$24:Q24)</f>
        <v>-276.64412447297974</v>
      </c>
      <c r="R25" s="24">
        <f>+SUM($E$24:R24)</f>
        <v>48.475175343478668</v>
      </c>
      <c r="S25" s="24">
        <f>+SUM($E$24:S24)</f>
        <v>351.20078529374797</v>
      </c>
      <c r="T25" s="24">
        <f>+SUM($E$24:T24)</f>
        <v>632.91734899137941</v>
      </c>
      <c r="U25" s="24">
        <f>+SUM($E$24:U24)</f>
        <v>894.94282848271837</v>
      </c>
      <c r="V25" s="24">
        <f>+SUM($E$24:V24)</f>
        <v>1138.5291848325646</v>
      </c>
      <c r="W25" s="24">
        <f>+SUM($E$24:W24)</f>
        <v>1364.8634860543191</v>
      </c>
      <c r="X25" s="24">
        <f>+SUM($E$24:X24)</f>
        <v>1575.0693590609419</v>
      </c>
      <c r="Y25" s="24">
        <f>+SUM($E$24:Y24)</f>
        <v>1770.2087139310374</v>
      </c>
      <c r="Z25" s="24">
        <f>+SUM($E$24:Z24)</f>
        <v>1951.2836789786304</v>
      </c>
      <c r="AA25" s="24">
        <f>+SUM($E$24:AA24)</f>
        <v>2104.5586002065011</v>
      </c>
      <c r="AB25" s="24">
        <f>+SUM($E$24:AB24)</f>
        <v>2233.5915437219746</v>
      </c>
      <c r="AC25" s="24">
        <f>+SUM($E$24:AC24)</f>
        <v>2341.5234069502153</v>
      </c>
      <c r="AD25" s="24">
        <f>+SUM($E$24:AD24)</f>
        <v>2431.1243619805091</v>
      </c>
      <c r="AE25" s="24">
        <f>+SUM($E$24:AE24)</f>
        <v>2504.8353023428281</v>
      </c>
      <c r="AF25" s="24">
        <f>+SUM($E$24:AF24)</f>
        <v>2564.8048178525864</v>
      </c>
      <c r="AG25" s="24">
        <f>+SUM($E$24:AG24)</f>
        <v>2612.9221680667597</v>
      </c>
      <c r="AH25" s="24">
        <f>+SUM($E$24:AH24)</f>
        <v>2650.8466762993407</v>
      </c>
      <c r="AI25" s="24">
        <f>+SUM($E$24:AI24)</f>
        <v>2680.0339224956256</v>
      </c>
      <c r="AJ25" s="24">
        <f>+SUM($E$24:AJ24)</f>
        <v>2701.7590740652499</v>
      </c>
      <c r="AK25" s="24">
        <f>+SUM($E$24:AK24)</f>
        <v>2719.7304890811811</v>
      </c>
      <c r="AL25" s="24">
        <f>+SUM($E$24:AL24)</f>
        <v>2734.4511183914487</v>
      </c>
      <c r="AM25" s="24">
        <f>+SUM($E$24:AM24)</f>
        <v>2746.3634898514961</v>
      </c>
      <c r="AN25" s="24">
        <f>+SUM($E$24:AN24)</f>
        <v>2755.8565377042537</v>
      </c>
      <c r="AO25" s="24">
        <f>+SUM($E$24:AO24)</f>
        <v>2763.2716896183197</v>
      </c>
      <c r="AP25" s="24">
        <f>+SUM($E$24:AP24)</f>
        <v>2768.9082899143418</v>
      </c>
      <c r="AQ25" s="24">
        <f>+SUM($E$24:AQ24)</f>
        <v>2773.0284293665595</v>
      </c>
      <c r="AR25" s="24">
        <f>+SUM($E$24:AR24)</f>
        <v>2775.8612446548705</v>
      </c>
      <c r="AS25" s="24">
        <f>+SUM($E$24:AS24)</f>
        <v>2777.6067439788926</v>
      </c>
      <c r="AT25" s="24">
        <f>+SUM($E$24:AT24)</f>
        <v>2779.1935615461857</v>
      </c>
    </row>
  </sheetData>
  <pageMargins left="0.7" right="0.7" top="0.75" bottom="0.75" header="0.3" footer="0.3"/>
  <pageSetup scale="30"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C9D59-9659-4CA6-9057-4DC86409455C}">
  <sheetPr codeName="Sheet11"/>
  <dimension ref="C2:AT23"/>
  <sheetViews>
    <sheetView showGridLines="0" view="pageBreakPreview" zoomScaleNormal="100" zoomScaleSheetLayoutView="100" workbookViewId="0">
      <selection activeCell="L37" sqref="L37"/>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+SUM(E22:AS22)</f>
        <v>2325.2411995488683</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931.24119954886828</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11" t="s">
        <v>312</v>
      </c>
      <c r="E19" s="7">
        <v>-724</v>
      </c>
      <c r="F19" s="7">
        <v>-1796</v>
      </c>
      <c r="G19" s="7">
        <v>-3066</v>
      </c>
      <c r="H19" s="7">
        <f>974-1377</f>
        <v>-403</v>
      </c>
      <c r="I19" s="7">
        <f>1074-37</f>
        <v>1037</v>
      </c>
      <c r="J19" s="7">
        <v>993</v>
      </c>
      <c r="K19" s="7">
        <v>1003</v>
      </c>
      <c r="L19" s="10">
        <f>+K19-(($K$19-$P$19)/($P$18-$K$18))</f>
        <v>1016</v>
      </c>
      <c r="M19" s="10">
        <f t="shared" ref="M19:O19" si="2">+L19-(($K$19-$P$19)/($P$18-$K$18))</f>
        <v>1029</v>
      </c>
      <c r="N19" s="10">
        <f t="shared" si="2"/>
        <v>1042</v>
      </c>
      <c r="O19" s="10">
        <f t="shared" si="2"/>
        <v>1055</v>
      </c>
      <c r="P19" s="7">
        <v>1068</v>
      </c>
      <c r="Q19" s="10">
        <f>+P19-(($P$19-$Z$19)/($Z$18-$P$18))</f>
        <v>1095.2</v>
      </c>
      <c r="R19" s="10">
        <f t="shared" ref="R19:Y19" si="3">+Q19-(($P$19-$Z$19)/($Z$18-$P$18))</f>
        <v>1122.4000000000001</v>
      </c>
      <c r="S19" s="10">
        <f t="shared" si="3"/>
        <v>1149.6000000000001</v>
      </c>
      <c r="T19" s="10">
        <f t="shared" si="3"/>
        <v>1176.8000000000002</v>
      </c>
      <c r="U19" s="10">
        <f t="shared" si="3"/>
        <v>1204.0000000000002</v>
      </c>
      <c r="V19" s="10">
        <f t="shared" si="3"/>
        <v>1231.2000000000003</v>
      </c>
      <c r="W19" s="10">
        <f t="shared" si="3"/>
        <v>1258.4000000000003</v>
      </c>
      <c r="X19" s="10">
        <f t="shared" si="3"/>
        <v>1285.6000000000004</v>
      </c>
      <c r="Y19" s="10">
        <f t="shared" si="3"/>
        <v>1312.8000000000004</v>
      </c>
      <c r="Z19" s="7">
        <v>1340</v>
      </c>
      <c r="AA19" s="10">
        <f>+Z19-(($Z$19-$AJ$19)/($AJ$18-$Z$18))</f>
        <v>1247.7</v>
      </c>
      <c r="AB19" s="10">
        <f t="shared" ref="AB19:AI19" si="4">+AA19-(($Z$19-$AJ$19)/($AJ$18-$Z$18))</f>
        <v>1155.4000000000001</v>
      </c>
      <c r="AC19" s="10">
        <f t="shared" si="4"/>
        <v>1063.1000000000001</v>
      </c>
      <c r="AD19" s="10">
        <f t="shared" si="4"/>
        <v>970.80000000000018</v>
      </c>
      <c r="AE19" s="10">
        <f t="shared" si="4"/>
        <v>878.50000000000023</v>
      </c>
      <c r="AF19" s="10">
        <f t="shared" si="4"/>
        <v>786.20000000000027</v>
      </c>
      <c r="AG19" s="10">
        <f t="shared" si="4"/>
        <v>693.90000000000032</v>
      </c>
      <c r="AH19" s="10">
        <f t="shared" si="4"/>
        <v>601.60000000000036</v>
      </c>
      <c r="AI19" s="10">
        <f t="shared" si="4"/>
        <v>509.30000000000035</v>
      </c>
      <c r="AJ19" s="7">
        <v>417</v>
      </c>
      <c r="AK19" s="10">
        <f>+AJ19-(($AJ$19-$AS$19)/($AS$18-$AJ$18))</f>
        <v>379.44444444444446</v>
      </c>
      <c r="AL19" s="10">
        <f t="shared" ref="AL19:AR19" si="5">+AK19-(($AJ$19-$AS$19)/($AS$18-$AJ$18))</f>
        <v>341.88888888888891</v>
      </c>
      <c r="AM19" s="10">
        <f t="shared" si="5"/>
        <v>304.33333333333337</v>
      </c>
      <c r="AN19" s="10">
        <f t="shared" si="5"/>
        <v>266.77777777777783</v>
      </c>
      <c r="AO19" s="10">
        <f t="shared" si="5"/>
        <v>229.22222222222229</v>
      </c>
      <c r="AP19" s="10">
        <f t="shared" si="5"/>
        <v>191.66666666666674</v>
      </c>
      <c r="AQ19" s="10">
        <f t="shared" si="5"/>
        <v>154.1111111111112</v>
      </c>
      <c r="AR19" s="10">
        <f t="shared" si="5"/>
        <v>116.55555555555564</v>
      </c>
      <c r="AS19" s="7">
        <v>79</v>
      </c>
      <c r="AT19" s="7">
        <v>79</v>
      </c>
    </row>
    <row r="20" spans="3:46" x14ac:dyDescent="0.2">
      <c r="C20" s="11" t="s">
        <v>311</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row>
    <row r="21" spans="3:46" s="5" customFormat="1" x14ac:dyDescent="0.2">
      <c r="C21" s="12" t="str">
        <f>+CONCATENATE("Facteur d'escompte @ ",E10*100,"%")</f>
        <v>Facteur d'escompte @ 10%</v>
      </c>
      <c r="E21" s="6">
        <f t="shared" ref="E21:AT21" si="6">+(1+$E$10)^-(E18-($E$18))</f>
        <v>1</v>
      </c>
      <c r="F21" s="6">
        <f t="shared" si="6"/>
        <v>0.90909090909090906</v>
      </c>
      <c r="G21" s="6">
        <f t="shared" si="6"/>
        <v>0.82644628099173545</v>
      </c>
      <c r="H21" s="6">
        <f t="shared" si="6"/>
        <v>0.75131480090157754</v>
      </c>
      <c r="I21" s="6">
        <f t="shared" si="6"/>
        <v>0.68301345536507052</v>
      </c>
      <c r="J21" s="6">
        <f t="shared" si="6"/>
        <v>0.62092132305915493</v>
      </c>
      <c r="K21" s="6">
        <f t="shared" si="6"/>
        <v>0.56447393005377722</v>
      </c>
      <c r="L21" s="6">
        <f t="shared" si="6"/>
        <v>0.51315811823070645</v>
      </c>
      <c r="M21" s="6">
        <f t="shared" si="6"/>
        <v>0.46650738020973315</v>
      </c>
      <c r="N21" s="6">
        <f t="shared" si="6"/>
        <v>0.42409761837248466</v>
      </c>
      <c r="O21" s="6">
        <f t="shared" si="6"/>
        <v>0.38554328942953148</v>
      </c>
      <c r="P21" s="6">
        <f t="shared" si="6"/>
        <v>0.3504938994813922</v>
      </c>
      <c r="Q21" s="6">
        <f t="shared" si="6"/>
        <v>0.31863081771035656</v>
      </c>
      <c r="R21" s="6">
        <f t="shared" si="6"/>
        <v>0.28966437973668779</v>
      </c>
      <c r="S21" s="6">
        <f t="shared" si="6"/>
        <v>0.26333125430607973</v>
      </c>
      <c r="T21" s="6">
        <f t="shared" si="6"/>
        <v>0.23939204936916339</v>
      </c>
      <c r="U21" s="6">
        <f t="shared" si="6"/>
        <v>0.21762913579014853</v>
      </c>
      <c r="V21" s="6">
        <f t="shared" si="6"/>
        <v>0.19784466890013502</v>
      </c>
      <c r="W21" s="6">
        <f t="shared" si="6"/>
        <v>0.17985878990921364</v>
      </c>
      <c r="X21" s="6">
        <f t="shared" si="6"/>
        <v>0.16350799082655781</v>
      </c>
      <c r="Y21" s="6">
        <f t="shared" si="6"/>
        <v>0.14864362802414349</v>
      </c>
      <c r="Z21" s="6">
        <f t="shared" si="6"/>
        <v>0.13513057093103953</v>
      </c>
      <c r="AA21" s="6">
        <f t="shared" si="6"/>
        <v>0.12284597357367227</v>
      </c>
      <c r="AB21" s="6">
        <f t="shared" si="6"/>
        <v>0.11167815779424752</v>
      </c>
      <c r="AC21" s="6">
        <f t="shared" si="6"/>
        <v>0.10152559799477048</v>
      </c>
      <c r="AD21" s="6">
        <f t="shared" si="6"/>
        <v>9.2295998177064048E-2</v>
      </c>
      <c r="AE21" s="6">
        <f t="shared" si="6"/>
        <v>8.3905452888240042E-2</v>
      </c>
      <c r="AF21" s="6">
        <f t="shared" si="6"/>
        <v>7.6277684443854576E-2</v>
      </c>
      <c r="AG21" s="6">
        <f t="shared" si="6"/>
        <v>6.9343349494413245E-2</v>
      </c>
      <c r="AH21" s="6">
        <f t="shared" si="6"/>
        <v>6.3039408631284766E-2</v>
      </c>
      <c r="AI21" s="6">
        <f t="shared" si="6"/>
        <v>5.7308553301167964E-2</v>
      </c>
      <c r="AJ21" s="6">
        <f t="shared" si="6"/>
        <v>5.2098684819243603E-2</v>
      </c>
      <c r="AK21" s="6">
        <f t="shared" si="6"/>
        <v>4.7362440744766907E-2</v>
      </c>
      <c r="AL21" s="6">
        <f t="shared" si="6"/>
        <v>4.3056764313424457E-2</v>
      </c>
      <c r="AM21" s="6">
        <f t="shared" si="6"/>
        <v>3.9142513012204054E-2</v>
      </c>
      <c r="AN21" s="6">
        <f t="shared" si="6"/>
        <v>3.5584102738367311E-2</v>
      </c>
      <c r="AO21" s="6">
        <f t="shared" si="6"/>
        <v>3.2349184307606652E-2</v>
      </c>
      <c r="AP21" s="6">
        <f t="shared" si="6"/>
        <v>2.94083493705515E-2</v>
      </c>
      <c r="AQ21" s="6">
        <f t="shared" si="6"/>
        <v>2.6734863064137721E-2</v>
      </c>
      <c r="AR21" s="6">
        <f t="shared" si="6"/>
        <v>2.4304420967397926E-2</v>
      </c>
      <c r="AS21" s="6">
        <f t="shared" si="6"/>
        <v>2.2094928152179935E-2</v>
      </c>
      <c r="AT21" s="6">
        <f t="shared" si="6"/>
        <v>2.0086298320163575E-2</v>
      </c>
    </row>
    <row r="22" spans="3:46" x14ac:dyDescent="0.2">
      <c r="C22" s="20" t="s">
        <v>303</v>
      </c>
      <c r="D22" s="21"/>
      <c r="E22" s="22">
        <f>+SUM(E19,E20)*E21</f>
        <v>-724</v>
      </c>
      <c r="F22" s="22">
        <f t="shared" ref="F22:AT22" si="7">+SUM(F19,F20)*F21</f>
        <v>-1632.7272727272727</v>
      </c>
      <c r="G22" s="22">
        <f t="shared" si="7"/>
        <v>-2533.8842975206608</v>
      </c>
      <c r="H22" s="22">
        <f t="shared" si="7"/>
        <v>-302.77986476333575</v>
      </c>
      <c r="I22" s="22">
        <f t="shared" si="7"/>
        <v>708.28495321357809</v>
      </c>
      <c r="J22" s="22">
        <f t="shared" si="7"/>
        <v>616.57487379774079</v>
      </c>
      <c r="K22" s="22">
        <f t="shared" si="7"/>
        <v>566.1673518439386</v>
      </c>
      <c r="L22" s="22">
        <f t="shared" si="7"/>
        <v>521.36864812239776</v>
      </c>
      <c r="M22" s="22">
        <f t="shared" si="7"/>
        <v>480.03609423581543</v>
      </c>
      <c r="N22" s="22">
        <f t="shared" si="7"/>
        <v>441.90971834412903</v>
      </c>
      <c r="O22" s="22">
        <f t="shared" si="7"/>
        <v>406.74817034815572</v>
      </c>
      <c r="P22" s="22">
        <f t="shared" si="7"/>
        <v>374.32748464612689</v>
      </c>
      <c r="Q22" s="22">
        <f t="shared" si="7"/>
        <v>348.96447155638253</v>
      </c>
      <c r="R22" s="22">
        <f t="shared" si="7"/>
        <v>325.11929981645841</v>
      </c>
      <c r="S22" s="22">
        <f t="shared" si="7"/>
        <v>302.7256099502693</v>
      </c>
      <c r="T22" s="22">
        <f t="shared" si="7"/>
        <v>281.7165636976315</v>
      </c>
      <c r="U22" s="22">
        <f t="shared" si="7"/>
        <v>262.0254794913389</v>
      </c>
      <c r="V22" s="22">
        <f t="shared" si="7"/>
        <v>243.58635634984628</v>
      </c>
      <c r="W22" s="22">
        <f t="shared" si="7"/>
        <v>226.33430122175452</v>
      </c>
      <c r="X22" s="22">
        <f t="shared" si="7"/>
        <v>210.2058730066228</v>
      </c>
      <c r="Y22" s="22">
        <f t="shared" si="7"/>
        <v>195.13935487009564</v>
      </c>
      <c r="Z22" s="22">
        <f t="shared" si="7"/>
        <v>181.07496504759297</v>
      </c>
      <c r="AA22" s="22">
        <f t="shared" si="7"/>
        <v>153.27492122787089</v>
      </c>
      <c r="AB22" s="22">
        <f t="shared" si="7"/>
        <v>129.03294351547359</v>
      </c>
      <c r="AC22" s="22">
        <f t="shared" si="7"/>
        <v>107.93186322824052</v>
      </c>
      <c r="AD22" s="22">
        <f t="shared" si="7"/>
        <v>89.60095503029379</v>
      </c>
      <c r="AE22" s="22">
        <f t="shared" si="7"/>
        <v>73.710940362318894</v>
      </c>
      <c r="AF22" s="22">
        <f t="shared" si="7"/>
        <v>59.969515509758487</v>
      </c>
      <c r="AG22" s="22">
        <f t="shared" si="7"/>
        <v>48.117350214173371</v>
      </c>
      <c r="AH22" s="22">
        <f t="shared" si="7"/>
        <v>37.924508232580941</v>
      </c>
      <c r="AI22" s="22">
        <f t="shared" si="7"/>
        <v>29.187246196284864</v>
      </c>
      <c r="AJ22" s="22">
        <f t="shared" si="7"/>
        <v>21.725151569624582</v>
      </c>
      <c r="AK22" s="22">
        <f t="shared" si="7"/>
        <v>17.971415015930997</v>
      </c>
      <c r="AL22" s="22">
        <f t="shared" si="7"/>
        <v>14.720629310267451</v>
      </c>
      <c r="AM22" s="22">
        <f t="shared" si="7"/>
        <v>11.912371460047435</v>
      </c>
      <c r="AN22" s="22">
        <f t="shared" si="7"/>
        <v>9.4930478527577709</v>
      </c>
      <c r="AO22" s="22">
        <f t="shared" si="7"/>
        <v>7.415151914065838</v>
      </c>
      <c r="AP22" s="22">
        <f t="shared" si="7"/>
        <v>5.6366002960223733</v>
      </c>
      <c r="AQ22" s="22">
        <f t="shared" si="7"/>
        <v>4.1201394522176713</v>
      </c>
      <c r="AR22" s="22">
        <f t="shared" si="7"/>
        <v>2.8328152883111604</v>
      </c>
      <c r="AS22" s="22">
        <f t="shared" si="7"/>
        <v>1.745499324022215</v>
      </c>
      <c r="AT22" s="22">
        <f t="shared" si="7"/>
        <v>1.5868175672929223</v>
      </c>
    </row>
    <row r="23" spans="3:46" s="5" customFormat="1" x14ac:dyDescent="0.2">
      <c r="C23" s="12" t="s">
        <v>313</v>
      </c>
      <c r="E23" s="24">
        <f>+SUM($E$22:E22)</f>
        <v>-724</v>
      </c>
      <c r="F23" s="24">
        <f>+SUM($E$22:F22)</f>
        <v>-2356.727272727273</v>
      </c>
      <c r="G23" s="24">
        <f>+SUM($E$22:G22)</f>
        <v>-4890.6115702479337</v>
      </c>
      <c r="H23" s="24">
        <f>+SUM($E$22:H22)</f>
        <v>-5193.3914350112691</v>
      </c>
      <c r="I23" s="24">
        <f>+SUM($E$22:I22)</f>
        <v>-4485.1064817976912</v>
      </c>
      <c r="J23" s="24">
        <f>+SUM($E$22:J22)</f>
        <v>-3868.5316079999502</v>
      </c>
      <c r="K23" s="24">
        <f>+SUM($E$22:K22)</f>
        <v>-3302.3642561560118</v>
      </c>
      <c r="L23" s="24">
        <f>+SUM($E$22:L22)</f>
        <v>-2780.9956080336142</v>
      </c>
      <c r="M23" s="24">
        <f>+SUM($E$22:M22)</f>
        <v>-2300.9595137977985</v>
      </c>
      <c r="N23" s="24">
        <f>+SUM($E$22:N22)</f>
        <v>-1859.0497954536695</v>
      </c>
      <c r="O23" s="24">
        <f>+SUM($E$22:O22)</f>
        <v>-1452.3016251055137</v>
      </c>
      <c r="P23" s="24">
        <f>+SUM($E$22:P22)</f>
        <v>-1077.9741404593869</v>
      </c>
      <c r="Q23" s="24">
        <f>+SUM($E$22:Q22)</f>
        <v>-729.00966890300447</v>
      </c>
      <c r="R23" s="24">
        <f>+SUM($E$22:R22)</f>
        <v>-403.89036908654606</v>
      </c>
      <c r="S23" s="24">
        <f>+SUM($E$22:S22)</f>
        <v>-101.16475913627676</v>
      </c>
      <c r="T23" s="24">
        <f>+SUM($E$22:T22)</f>
        <v>180.55180456135474</v>
      </c>
      <c r="U23" s="24">
        <f>+SUM($E$22:U22)</f>
        <v>442.57728405269364</v>
      </c>
      <c r="V23" s="24">
        <f>+SUM($E$22:V22)</f>
        <v>686.16364040253995</v>
      </c>
      <c r="W23" s="24">
        <f>+SUM($E$22:W22)</f>
        <v>912.49794162429453</v>
      </c>
      <c r="X23" s="24">
        <f>+SUM($E$22:X22)</f>
        <v>1122.7038146309173</v>
      </c>
      <c r="Y23" s="24">
        <f>+SUM($E$22:Y22)</f>
        <v>1317.8431695010131</v>
      </c>
      <c r="Z23" s="24">
        <f>+SUM($E$22:Z22)</f>
        <v>1498.9181345486061</v>
      </c>
      <c r="AA23" s="24">
        <f>+SUM($E$22:AA22)</f>
        <v>1652.193055776477</v>
      </c>
      <c r="AB23" s="24">
        <f>+SUM($E$22:AB22)</f>
        <v>1781.2259992919505</v>
      </c>
      <c r="AC23" s="24">
        <f>+SUM($E$22:AC22)</f>
        <v>1889.157862520191</v>
      </c>
      <c r="AD23" s="24">
        <f>+SUM($E$22:AD22)</f>
        <v>1978.7588175504848</v>
      </c>
      <c r="AE23" s="24">
        <f>+SUM($E$22:AE22)</f>
        <v>2052.4697579128037</v>
      </c>
      <c r="AF23" s="24">
        <f>+SUM($E$22:AF22)</f>
        <v>2112.4392734225621</v>
      </c>
      <c r="AG23" s="24">
        <f>+SUM($E$22:AG22)</f>
        <v>2160.5566236367354</v>
      </c>
      <c r="AH23" s="24">
        <f>+SUM($E$22:AH22)</f>
        <v>2198.4811318693164</v>
      </c>
      <c r="AI23" s="24">
        <f>+SUM($E$22:AI22)</f>
        <v>2227.6683780656012</v>
      </c>
      <c r="AJ23" s="24">
        <f>+SUM($E$22:AJ22)</f>
        <v>2249.3935296352256</v>
      </c>
      <c r="AK23" s="24">
        <f>+SUM($E$22:AK22)</f>
        <v>2267.3649446511567</v>
      </c>
      <c r="AL23" s="24">
        <f>+SUM($E$22:AL22)</f>
        <v>2282.0855739614244</v>
      </c>
      <c r="AM23" s="24">
        <f>+SUM($E$22:AM22)</f>
        <v>2293.9979454214717</v>
      </c>
      <c r="AN23" s="24">
        <f>+SUM($E$22:AN22)</f>
        <v>2303.4909932742294</v>
      </c>
      <c r="AO23" s="24">
        <f>+SUM($E$22:AO22)</f>
        <v>2310.9061451882953</v>
      </c>
      <c r="AP23" s="24">
        <f>+SUM($E$22:AP22)</f>
        <v>2316.5427454843175</v>
      </c>
      <c r="AQ23" s="24">
        <f>+SUM($E$22:AQ22)</f>
        <v>2320.6628849365352</v>
      </c>
      <c r="AR23" s="24">
        <f>+SUM($E$22:AR22)</f>
        <v>2323.4957002248461</v>
      </c>
      <c r="AS23" s="24">
        <f>+SUM($E$22:AS22)</f>
        <v>2325.2411995488683</v>
      </c>
      <c r="AT23" s="24">
        <f>+SUM($E$22:AT22)</f>
        <v>2326.8280171161614</v>
      </c>
    </row>
  </sheetData>
  <pageMargins left="0.7" right="0.7" top="0.75" bottom="0.75" header="0.3" footer="0.3"/>
  <pageSetup scale="30"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32F2A-126E-44E4-B029-0C3073B37C38}">
  <sheetPr codeName="Sheet20"/>
  <dimension ref="C2:AT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+SUM(E24:AS24)</f>
        <v>1870.8756551188428</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476.87565511884281</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s="73" customFormat="1" x14ac:dyDescent="0.2">
      <c r="C19" s="81" t="s">
        <v>314</v>
      </c>
      <c r="E19" s="77">
        <f>1.076*726</f>
        <v>781.17600000000004</v>
      </c>
      <c r="F19" s="77">
        <f>1.076*1802</f>
        <v>1938.9520000000002</v>
      </c>
      <c r="G19" s="77">
        <f>1.076*3075</f>
        <v>3308.7000000000003</v>
      </c>
      <c r="H19" s="77">
        <f>1.076*1377</f>
        <v>1481.652</v>
      </c>
      <c r="I19" s="77">
        <f>1.076*37</f>
        <v>39.812000000000005</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s="73" customFormat="1" x14ac:dyDescent="0.2">
      <c r="C20" s="81" t="s">
        <v>309</v>
      </c>
      <c r="E20" s="77">
        <v>1</v>
      </c>
      <c r="F20" s="77">
        <v>6</v>
      </c>
      <c r="G20" s="77">
        <v>9</v>
      </c>
      <c r="H20" s="77">
        <v>974</v>
      </c>
      <c r="I20" s="77">
        <v>1074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-780.17600000000004</v>
      </c>
      <c r="F21" s="75">
        <f t="shared" ref="F21:I21" si="2">F20-F19</f>
        <v>-1932.9520000000002</v>
      </c>
      <c r="G21" s="75">
        <f t="shared" si="2"/>
        <v>-3299.7000000000003</v>
      </c>
      <c r="H21" s="75">
        <f t="shared" si="2"/>
        <v>-507.65200000000004</v>
      </c>
      <c r="I21" s="75">
        <f t="shared" si="2"/>
        <v>1034.1880000000001</v>
      </c>
      <c r="J21" s="7">
        <v>993</v>
      </c>
      <c r="K21" s="7">
        <v>1003</v>
      </c>
      <c r="L21" s="10">
        <f>+K21-(($K$21-$P$21)/($P$18-$K$18))</f>
        <v>1016</v>
      </c>
      <c r="M21" s="10">
        <f>+L21-(($K$21-$P$21)/($P$18-$K$18))</f>
        <v>1029</v>
      </c>
      <c r="N21" s="10">
        <f>+M21-(($K$21-$P$21)/($P$18-$K$18))</f>
        <v>1042</v>
      </c>
      <c r="O21" s="10">
        <f>+N21-(($K$21-$P$21)/($P$18-$K$18))</f>
        <v>1055</v>
      </c>
      <c r="P21" s="7">
        <v>1068</v>
      </c>
      <c r="Q21" s="10">
        <f t="shared" ref="Q21:Y21" si="3">+P21-(($P$21-$Z$21)/($Z$18-$P$18))</f>
        <v>1095.2</v>
      </c>
      <c r="R21" s="10">
        <f t="shared" si="3"/>
        <v>1122.4000000000001</v>
      </c>
      <c r="S21" s="10">
        <f t="shared" si="3"/>
        <v>1149.6000000000001</v>
      </c>
      <c r="T21" s="10">
        <f t="shared" si="3"/>
        <v>1176.8000000000002</v>
      </c>
      <c r="U21" s="10">
        <f t="shared" si="3"/>
        <v>1204.0000000000002</v>
      </c>
      <c r="V21" s="10">
        <f t="shared" si="3"/>
        <v>1231.2000000000003</v>
      </c>
      <c r="W21" s="10">
        <f t="shared" si="3"/>
        <v>1258.4000000000003</v>
      </c>
      <c r="X21" s="10">
        <f t="shared" si="3"/>
        <v>1285.6000000000004</v>
      </c>
      <c r="Y21" s="10">
        <f t="shared" si="3"/>
        <v>1312.8000000000004</v>
      </c>
      <c r="Z21" s="7">
        <v>1340</v>
      </c>
      <c r="AA21" s="10">
        <f t="shared" ref="AA21:AI21" si="4">+Z21-(($Z$21-$AJ$21)/($AJ$18-$Z$18))</f>
        <v>1247.7</v>
      </c>
      <c r="AB21" s="10">
        <f t="shared" si="4"/>
        <v>1155.4000000000001</v>
      </c>
      <c r="AC21" s="10">
        <f t="shared" si="4"/>
        <v>1063.1000000000001</v>
      </c>
      <c r="AD21" s="10">
        <f t="shared" si="4"/>
        <v>970.80000000000018</v>
      </c>
      <c r="AE21" s="10">
        <f t="shared" si="4"/>
        <v>878.50000000000023</v>
      </c>
      <c r="AF21" s="10">
        <f t="shared" si="4"/>
        <v>786.20000000000027</v>
      </c>
      <c r="AG21" s="10">
        <f t="shared" si="4"/>
        <v>693.90000000000032</v>
      </c>
      <c r="AH21" s="10">
        <f t="shared" si="4"/>
        <v>601.60000000000036</v>
      </c>
      <c r="AI21" s="10">
        <f t="shared" si="4"/>
        <v>509.30000000000035</v>
      </c>
      <c r="AJ21" s="7">
        <v>417</v>
      </c>
      <c r="AK21" s="10">
        <f t="shared" ref="AK21:AR21" si="5">+AJ21-(($AJ$21-$AS$21)/($AS$18-$AJ$18))</f>
        <v>379.44444444444446</v>
      </c>
      <c r="AL21" s="10">
        <f t="shared" si="5"/>
        <v>341.88888888888891</v>
      </c>
      <c r="AM21" s="10">
        <f t="shared" si="5"/>
        <v>304.33333333333337</v>
      </c>
      <c r="AN21" s="10">
        <f t="shared" si="5"/>
        <v>266.77777777777783</v>
      </c>
      <c r="AO21" s="10">
        <f t="shared" si="5"/>
        <v>229.22222222222229</v>
      </c>
      <c r="AP21" s="10">
        <f t="shared" si="5"/>
        <v>191.66666666666674</v>
      </c>
      <c r="AQ21" s="10">
        <f t="shared" si="5"/>
        <v>154.1111111111112</v>
      </c>
      <c r="AR21" s="10">
        <f t="shared" si="5"/>
        <v>116.55555555555564</v>
      </c>
      <c r="AS21" s="7">
        <v>79</v>
      </c>
      <c r="AT21" s="7">
        <v>79</v>
      </c>
    </row>
    <row r="22" spans="3:46" x14ac:dyDescent="0.2">
      <c r="C22" s="11" t="s">
        <v>311</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row>
    <row r="23" spans="3:46" s="5" customFormat="1" x14ac:dyDescent="0.2">
      <c r="C23" s="12" t="str">
        <f>+CONCATENATE("Taux d'escompte @ ",E10*100,"%")</f>
        <v>Taux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+SUM(E21,E22)*E23</f>
        <v>-780.17600000000004</v>
      </c>
      <c r="F24" s="22">
        <f t="shared" ref="F24:AT24" si="7">+SUM(F21,F22)*F23</f>
        <v>-1757.2290909090912</v>
      </c>
      <c r="G24" s="22">
        <f t="shared" si="7"/>
        <v>-2727.0247933884298</v>
      </c>
      <c r="H24" s="22">
        <f t="shared" si="7"/>
        <v>-381.40646130728766</v>
      </c>
      <c r="I24" s="22">
        <f t="shared" si="7"/>
        <v>706.36431937709165</v>
      </c>
      <c r="J24" s="22">
        <f t="shared" si="7"/>
        <v>616.57487379774079</v>
      </c>
      <c r="K24" s="22">
        <f t="shared" si="7"/>
        <v>566.1673518439386</v>
      </c>
      <c r="L24" s="22">
        <f t="shared" si="7"/>
        <v>521.36864812239776</v>
      </c>
      <c r="M24" s="22">
        <f t="shared" si="7"/>
        <v>480.03609423581543</v>
      </c>
      <c r="N24" s="22">
        <f t="shared" si="7"/>
        <v>441.90971834412903</v>
      </c>
      <c r="O24" s="22">
        <f t="shared" si="7"/>
        <v>406.74817034815572</v>
      </c>
      <c r="P24" s="22">
        <f t="shared" si="7"/>
        <v>374.32748464612689</v>
      </c>
      <c r="Q24" s="22">
        <f t="shared" si="7"/>
        <v>348.96447155638253</v>
      </c>
      <c r="R24" s="22">
        <f t="shared" si="7"/>
        <v>325.11929981645841</v>
      </c>
      <c r="S24" s="22">
        <f t="shared" si="7"/>
        <v>302.7256099502693</v>
      </c>
      <c r="T24" s="22">
        <f t="shared" si="7"/>
        <v>281.7165636976315</v>
      </c>
      <c r="U24" s="22">
        <f t="shared" si="7"/>
        <v>262.0254794913389</v>
      </c>
      <c r="V24" s="22">
        <f t="shared" si="7"/>
        <v>243.58635634984628</v>
      </c>
      <c r="W24" s="22">
        <f t="shared" si="7"/>
        <v>226.33430122175452</v>
      </c>
      <c r="X24" s="22">
        <f t="shared" si="7"/>
        <v>210.2058730066228</v>
      </c>
      <c r="Y24" s="22">
        <f t="shared" si="7"/>
        <v>195.13935487009564</v>
      </c>
      <c r="Z24" s="22">
        <f t="shared" si="7"/>
        <v>181.07496504759297</v>
      </c>
      <c r="AA24" s="22">
        <f t="shared" si="7"/>
        <v>153.27492122787089</v>
      </c>
      <c r="AB24" s="22">
        <f t="shared" si="7"/>
        <v>129.03294351547359</v>
      </c>
      <c r="AC24" s="22">
        <f t="shared" si="7"/>
        <v>107.93186322824052</v>
      </c>
      <c r="AD24" s="22">
        <f t="shared" si="7"/>
        <v>89.60095503029379</v>
      </c>
      <c r="AE24" s="22">
        <f t="shared" si="7"/>
        <v>73.710940362318894</v>
      </c>
      <c r="AF24" s="22">
        <f t="shared" si="7"/>
        <v>59.969515509758487</v>
      </c>
      <c r="AG24" s="22">
        <f t="shared" si="7"/>
        <v>48.117350214173371</v>
      </c>
      <c r="AH24" s="22">
        <f t="shared" si="7"/>
        <v>37.924508232580941</v>
      </c>
      <c r="AI24" s="22">
        <f t="shared" si="7"/>
        <v>29.187246196284864</v>
      </c>
      <c r="AJ24" s="22">
        <f t="shared" si="7"/>
        <v>21.725151569624582</v>
      </c>
      <c r="AK24" s="22">
        <f t="shared" si="7"/>
        <v>17.971415015930997</v>
      </c>
      <c r="AL24" s="22">
        <f t="shared" si="7"/>
        <v>14.720629310267451</v>
      </c>
      <c r="AM24" s="22">
        <f t="shared" si="7"/>
        <v>11.912371460047435</v>
      </c>
      <c r="AN24" s="22">
        <f t="shared" si="7"/>
        <v>9.4930478527577709</v>
      </c>
      <c r="AO24" s="22">
        <f t="shared" si="7"/>
        <v>7.415151914065838</v>
      </c>
      <c r="AP24" s="22">
        <f t="shared" si="7"/>
        <v>5.6366002960223733</v>
      </c>
      <c r="AQ24" s="22">
        <f t="shared" si="7"/>
        <v>4.1201394522176713</v>
      </c>
      <c r="AR24" s="22">
        <f t="shared" si="7"/>
        <v>2.8328152883111604</v>
      </c>
      <c r="AS24" s="22">
        <f t="shared" si="7"/>
        <v>1.745499324022215</v>
      </c>
      <c r="AT24" s="22">
        <f t="shared" si="7"/>
        <v>1.5868175672929223</v>
      </c>
    </row>
    <row r="25" spans="3:46" s="5" customFormat="1" x14ac:dyDescent="0.2">
      <c r="C25" s="12" t="s">
        <v>313</v>
      </c>
      <c r="E25" s="24">
        <f>+SUM($E$24:E24)</f>
        <v>-780.17600000000004</v>
      </c>
      <c r="F25" s="24">
        <f>+SUM($E$24:F24)</f>
        <v>-2537.4050909090911</v>
      </c>
      <c r="G25" s="24">
        <f>+SUM($E$24:G24)</f>
        <v>-5264.4298842975204</v>
      </c>
      <c r="H25" s="24">
        <f>+SUM($E$24:H24)</f>
        <v>-5645.8363456048082</v>
      </c>
      <c r="I25" s="24">
        <f>+SUM($E$24:I24)</f>
        <v>-4939.4720262277169</v>
      </c>
      <c r="J25" s="24">
        <f>+SUM($E$24:J24)</f>
        <v>-4322.8971524299759</v>
      </c>
      <c r="K25" s="24">
        <f>+SUM($E$24:K24)</f>
        <v>-3756.7298005860375</v>
      </c>
      <c r="L25" s="24">
        <f>+SUM($E$24:L24)</f>
        <v>-3235.3611524636399</v>
      </c>
      <c r="M25" s="24">
        <f>+SUM($E$24:M24)</f>
        <v>-2755.3250582278242</v>
      </c>
      <c r="N25" s="24">
        <f>+SUM($E$24:N24)</f>
        <v>-2313.4153398836952</v>
      </c>
      <c r="O25" s="24">
        <f>+SUM($E$24:O24)</f>
        <v>-1906.6671695355394</v>
      </c>
      <c r="P25" s="24">
        <f>+SUM($E$24:P24)</f>
        <v>-1532.3396848894126</v>
      </c>
      <c r="Q25" s="24">
        <f>+SUM($E$24:Q24)</f>
        <v>-1183.3752133330302</v>
      </c>
      <c r="R25" s="24">
        <f>+SUM($E$24:R24)</f>
        <v>-858.25591351657181</v>
      </c>
      <c r="S25" s="24">
        <f>+SUM($E$24:S24)</f>
        <v>-555.53030356630256</v>
      </c>
      <c r="T25" s="24">
        <f>+SUM($E$24:T24)</f>
        <v>-273.81373986867106</v>
      </c>
      <c r="U25" s="24">
        <f>+SUM($E$24:U24)</f>
        <v>-11.788260377332165</v>
      </c>
      <c r="V25" s="24">
        <f>+SUM($E$24:V24)</f>
        <v>231.79809597251412</v>
      </c>
      <c r="W25" s="24">
        <f>+SUM($E$24:W24)</f>
        <v>458.13239719426861</v>
      </c>
      <c r="X25" s="24">
        <f>+SUM($E$24:X24)</f>
        <v>668.33827020089143</v>
      </c>
      <c r="Y25" s="24">
        <f>+SUM($E$24:Y24)</f>
        <v>863.47762507098707</v>
      </c>
      <c r="Z25" s="24">
        <f>+SUM($E$24:Z24)</f>
        <v>1044.5525901185802</v>
      </c>
      <c r="AA25" s="24">
        <f>+SUM($E$24:AA24)</f>
        <v>1197.827511346451</v>
      </c>
      <c r="AB25" s="24">
        <f>+SUM($E$24:AB24)</f>
        <v>1326.8604548619246</v>
      </c>
      <c r="AC25" s="24">
        <f>+SUM($E$24:AC24)</f>
        <v>1434.7923180901651</v>
      </c>
      <c r="AD25" s="24">
        <f>+SUM($E$24:AD24)</f>
        <v>1524.3932731204588</v>
      </c>
      <c r="AE25" s="24">
        <f>+SUM($E$24:AE24)</f>
        <v>1598.1042134827778</v>
      </c>
      <c r="AF25" s="24">
        <f>+SUM($E$24:AF24)</f>
        <v>1658.0737289925364</v>
      </c>
      <c r="AG25" s="24">
        <f>+SUM($E$24:AG24)</f>
        <v>1706.1910792067097</v>
      </c>
      <c r="AH25" s="24">
        <f>+SUM($E$24:AH24)</f>
        <v>1744.1155874392907</v>
      </c>
      <c r="AI25" s="24">
        <f>+SUM($E$24:AI24)</f>
        <v>1773.3028336355756</v>
      </c>
      <c r="AJ25" s="24">
        <f>+SUM($E$24:AJ24)</f>
        <v>1795.0279852052001</v>
      </c>
      <c r="AK25" s="24">
        <f>+SUM($E$24:AK24)</f>
        <v>1812.9994002211311</v>
      </c>
      <c r="AL25" s="24">
        <f>+SUM($E$24:AL24)</f>
        <v>1827.7200295313985</v>
      </c>
      <c r="AM25" s="24">
        <f>+SUM($E$24:AM24)</f>
        <v>1839.6324009914458</v>
      </c>
      <c r="AN25" s="24">
        <f>+SUM($E$24:AN24)</f>
        <v>1849.1254488442037</v>
      </c>
      <c r="AO25" s="24">
        <f>+SUM($E$24:AO24)</f>
        <v>1856.5406007582694</v>
      </c>
      <c r="AP25" s="24">
        <f>+SUM($E$24:AP24)</f>
        <v>1862.1772010542918</v>
      </c>
      <c r="AQ25" s="24">
        <f>+SUM($E$24:AQ24)</f>
        <v>1866.2973405065095</v>
      </c>
      <c r="AR25" s="24">
        <f>+SUM($E$24:AR24)</f>
        <v>1869.1301557948207</v>
      </c>
      <c r="AS25" s="24">
        <f>+SUM($E$24:AS24)</f>
        <v>1870.8756551188428</v>
      </c>
      <c r="AT25" s="24">
        <f>+SUM($E$24:AT24)</f>
        <v>1872.4624726861357</v>
      </c>
    </row>
  </sheetData>
  <pageMargins left="0.7" right="0.7" top="0.75" bottom="0.75" header="0.3" footer="0.3"/>
  <pageSetup scale="30"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4B94-F966-4853-BBDC-88FFB00F85F4}">
  <sheetPr codeName="Sheet14"/>
  <dimension ref="C2:AT25"/>
  <sheetViews>
    <sheetView showGridLines="0" view="pageBreakPreview" zoomScaleNormal="100" zoomScaleSheetLayoutView="100" workbookViewId="0">
      <selection activeCell="E21" sqref="E21:I21"/>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+SUM(E24:AT24)</f>
        <v>2034.28754445455</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640.28754445455002</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s="73" customFormat="1" x14ac:dyDescent="0.2">
      <c r="C19" s="81" t="s">
        <v>314</v>
      </c>
      <c r="E19" s="77">
        <f>0.924*726</f>
        <v>670.82400000000007</v>
      </c>
      <c r="F19" s="77">
        <f>0.924*1802</f>
        <v>1665.048</v>
      </c>
      <c r="G19" s="77">
        <f>0.924*3075</f>
        <v>2841.3</v>
      </c>
      <c r="H19" s="77">
        <f>0.924*1377</f>
        <v>1272.348</v>
      </c>
      <c r="I19" s="77">
        <f>0.924*37</f>
        <v>34.188000000000002</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row>
    <row r="20" spans="3:46" s="73" customFormat="1" x14ac:dyDescent="0.2">
      <c r="C20" s="81" t="s">
        <v>309</v>
      </c>
      <c r="E20" s="77">
        <v>1</v>
      </c>
      <c r="F20" s="77">
        <v>6</v>
      </c>
      <c r="G20" s="77">
        <v>9</v>
      </c>
      <c r="H20" s="77">
        <v>12</v>
      </c>
      <c r="I20" s="77">
        <v>974</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3:46" x14ac:dyDescent="0.2">
      <c r="C21" s="11" t="s">
        <v>312</v>
      </c>
      <c r="E21" s="75">
        <f>E20-E19</f>
        <v>-669.82400000000007</v>
      </c>
      <c r="F21" s="75">
        <f t="shared" ref="F21:I21" si="2">F20-F19</f>
        <v>-1659.048</v>
      </c>
      <c r="G21" s="75">
        <f t="shared" si="2"/>
        <v>-2832.3</v>
      </c>
      <c r="H21" s="75">
        <f t="shared" si="2"/>
        <v>-1260.348</v>
      </c>
      <c r="I21" s="75">
        <f t="shared" si="2"/>
        <v>939.81200000000001</v>
      </c>
      <c r="J21" s="7">
        <v>1074</v>
      </c>
      <c r="K21" s="7">
        <v>993</v>
      </c>
      <c r="L21" s="7">
        <v>1003</v>
      </c>
      <c r="M21" s="10">
        <f>+L21-(($L$21-$Q$21)/($Q$18-$L$18))</f>
        <v>1016</v>
      </c>
      <c r="N21" s="10">
        <f>+M21-(($L$21-$Q$21)/($Q$18-$L$18))</f>
        <v>1029</v>
      </c>
      <c r="O21" s="10">
        <f>+N21-(($L$21-$Q$21)/($Q$18-$L$18))</f>
        <v>1042</v>
      </c>
      <c r="P21" s="10">
        <f>+O21-(($L$21-$Q$21)/($Q$18-$L$18))</f>
        <v>1055</v>
      </c>
      <c r="Q21" s="7">
        <v>1068</v>
      </c>
      <c r="R21" s="10">
        <f t="shared" ref="R21:Z21" si="3">+Q21-(($Q$21-$AA$21)/($AA$18-$Q$18))</f>
        <v>1095.2</v>
      </c>
      <c r="S21" s="10">
        <f t="shared" si="3"/>
        <v>1122.4000000000001</v>
      </c>
      <c r="T21" s="10">
        <f t="shared" si="3"/>
        <v>1149.6000000000001</v>
      </c>
      <c r="U21" s="10">
        <f t="shared" si="3"/>
        <v>1176.8000000000002</v>
      </c>
      <c r="V21" s="10">
        <f t="shared" si="3"/>
        <v>1204.0000000000002</v>
      </c>
      <c r="W21" s="10">
        <f t="shared" si="3"/>
        <v>1231.2000000000003</v>
      </c>
      <c r="X21" s="10">
        <f t="shared" si="3"/>
        <v>1258.4000000000003</v>
      </c>
      <c r="Y21" s="10">
        <f t="shared" si="3"/>
        <v>1285.6000000000004</v>
      </c>
      <c r="Z21" s="10">
        <f t="shared" si="3"/>
        <v>1312.8000000000004</v>
      </c>
      <c r="AA21" s="7">
        <v>1340</v>
      </c>
      <c r="AB21" s="10">
        <f t="shared" ref="AB21:AJ21" si="4">+AA21-(($AA$21-$AK$21)/($AK$18-$AA$18))</f>
        <v>1247.7</v>
      </c>
      <c r="AC21" s="10">
        <f t="shared" si="4"/>
        <v>1155.4000000000001</v>
      </c>
      <c r="AD21" s="10">
        <f t="shared" si="4"/>
        <v>1063.1000000000001</v>
      </c>
      <c r="AE21" s="10">
        <f t="shared" si="4"/>
        <v>970.80000000000018</v>
      </c>
      <c r="AF21" s="10">
        <f t="shared" si="4"/>
        <v>878.50000000000023</v>
      </c>
      <c r="AG21" s="10">
        <f t="shared" si="4"/>
        <v>786.20000000000027</v>
      </c>
      <c r="AH21" s="10">
        <f t="shared" si="4"/>
        <v>693.90000000000032</v>
      </c>
      <c r="AI21" s="10">
        <f t="shared" si="4"/>
        <v>601.60000000000036</v>
      </c>
      <c r="AJ21" s="10">
        <f t="shared" si="4"/>
        <v>509.30000000000035</v>
      </c>
      <c r="AK21" s="7">
        <v>417</v>
      </c>
      <c r="AL21" s="10">
        <f t="shared" ref="AL21:AS21" si="5">+AK21-(($AK$21-$AT$21)/($AT$18-$AK$18))</f>
        <v>379.44444444444446</v>
      </c>
      <c r="AM21" s="10">
        <f t="shared" si="5"/>
        <v>341.88888888888891</v>
      </c>
      <c r="AN21" s="10">
        <f t="shared" si="5"/>
        <v>304.33333333333337</v>
      </c>
      <c r="AO21" s="10">
        <f t="shared" si="5"/>
        <v>266.77777777777783</v>
      </c>
      <c r="AP21" s="10">
        <f t="shared" si="5"/>
        <v>229.22222222222229</v>
      </c>
      <c r="AQ21" s="10">
        <f t="shared" si="5"/>
        <v>191.66666666666674</v>
      </c>
      <c r="AR21" s="10">
        <f t="shared" si="5"/>
        <v>154.1111111111112</v>
      </c>
      <c r="AS21" s="10">
        <f t="shared" si="5"/>
        <v>116.55555555555564</v>
      </c>
      <c r="AT21" s="7">
        <v>79</v>
      </c>
    </row>
    <row r="22" spans="3:46" x14ac:dyDescent="0.2">
      <c r="C22" s="11" t="s">
        <v>311</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row>
    <row r="23" spans="3:46" s="5" customFormat="1" x14ac:dyDescent="0.2">
      <c r="C23" s="12" t="str">
        <f>+CONCATENATE("Facteur d'escompte @ ",E10*100,"%")</f>
        <v>Facteur d'escompte @ 10%</v>
      </c>
      <c r="E23" s="6">
        <f t="shared" ref="E23:AT23" si="6">+(1+$E$10)^-(E18-($E$18))</f>
        <v>1</v>
      </c>
      <c r="F23" s="6">
        <f t="shared" si="6"/>
        <v>0.90909090909090906</v>
      </c>
      <c r="G23" s="6">
        <f t="shared" si="6"/>
        <v>0.82644628099173545</v>
      </c>
      <c r="H23" s="6">
        <f t="shared" si="6"/>
        <v>0.75131480090157754</v>
      </c>
      <c r="I23" s="6">
        <f t="shared" si="6"/>
        <v>0.68301345536507052</v>
      </c>
      <c r="J23" s="6">
        <f t="shared" si="6"/>
        <v>0.62092132305915493</v>
      </c>
      <c r="K23" s="6">
        <f t="shared" si="6"/>
        <v>0.56447393005377722</v>
      </c>
      <c r="L23" s="6">
        <f t="shared" si="6"/>
        <v>0.51315811823070645</v>
      </c>
      <c r="M23" s="6">
        <f t="shared" si="6"/>
        <v>0.46650738020973315</v>
      </c>
      <c r="N23" s="6">
        <f t="shared" si="6"/>
        <v>0.42409761837248466</v>
      </c>
      <c r="O23" s="6">
        <f t="shared" si="6"/>
        <v>0.38554328942953148</v>
      </c>
      <c r="P23" s="6">
        <f t="shared" si="6"/>
        <v>0.3504938994813922</v>
      </c>
      <c r="Q23" s="6">
        <f t="shared" si="6"/>
        <v>0.31863081771035656</v>
      </c>
      <c r="R23" s="6">
        <f t="shared" si="6"/>
        <v>0.28966437973668779</v>
      </c>
      <c r="S23" s="6">
        <f t="shared" si="6"/>
        <v>0.26333125430607973</v>
      </c>
      <c r="T23" s="6">
        <f t="shared" si="6"/>
        <v>0.23939204936916339</v>
      </c>
      <c r="U23" s="6">
        <f t="shared" si="6"/>
        <v>0.21762913579014853</v>
      </c>
      <c r="V23" s="6">
        <f t="shared" si="6"/>
        <v>0.19784466890013502</v>
      </c>
      <c r="W23" s="6">
        <f t="shared" si="6"/>
        <v>0.17985878990921364</v>
      </c>
      <c r="X23" s="6">
        <f t="shared" si="6"/>
        <v>0.16350799082655781</v>
      </c>
      <c r="Y23" s="6">
        <f t="shared" si="6"/>
        <v>0.14864362802414349</v>
      </c>
      <c r="Z23" s="6">
        <f t="shared" si="6"/>
        <v>0.13513057093103953</v>
      </c>
      <c r="AA23" s="6">
        <f t="shared" si="6"/>
        <v>0.12284597357367227</v>
      </c>
      <c r="AB23" s="6">
        <f t="shared" si="6"/>
        <v>0.11167815779424752</v>
      </c>
      <c r="AC23" s="6">
        <f t="shared" si="6"/>
        <v>0.10152559799477048</v>
      </c>
      <c r="AD23" s="6">
        <f t="shared" si="6"/>
        <v>9.2295998177064048E-2</v>
      </c>
      <c r="AE23" s="6">
        <f t="shared" si="6"/>
        <v>8.3905452888240042E-2</v>
      </c>
      <c r="AF23" s="6">
        <f t="shared" si="6"/>
        <v>7.6277684443854576E-2</v>
      </c>
      <c r="AG23" s="6">
        <f t="shared" si="6"/>
        <v>6.9343349494413245E-2</v>
      </c>
      <c r="AH23" s="6">
        <f t="shared" si="6"/>
        <v>6.3039408631284766E-2</v>
      </c>
      <c r="AI23" s="6">
        <f t="shared" si="6"/>
        <v>5.7308553301167964E-2</v>
      </c>
      <c r="AJ23" s="6">
        <f t="shared" si="6"/>
        <v>5.2098684819243603E-2</v>
      </c>
      <c r="AK23" s="6">
        <f t="shared" si="6"/>
        <v>4.7362440744766907E-2</v>
      </c>
      <c r="AL23" s="6">
        <f t="shared" si="6"/>
        <v>4.3056764313424457E-2</v>
      </c>
      <c r="AM23" s="6">
        <f t="shared" si="6"/>
        <v>3.9142513012204054E-2</v>
      </c>
      <c r="AN23" s="6">
        <f t="shared" si="6"/>
        <v>3.5584102738367311E-2</v>
      </c>
      <c r="AO23" s="6">
        <f t="shared" si="6"/>
        <v>3.2349184307606652E-2</v>
      </c>
      <c r="AP23" s="6">
        <f t="shared" si="6"/>
        <v>2.94083493705515E-2</v>
      </c>
      <c r="AQ23" s="6">
        <f t="shared" si="6"/>
        <v>2.6734863064137721E-2</v>
      </c>
      <c r="AR23" s="6">
        <f t="shared" si="6"/>
        <v>2.4304420967397926E-2</v>
      </c>
      <c r="AS23" s="6">
        <f t="shared" si="6"/>
        <v>2.2094928152179935E-2</v>
      </c>
      <c r="AT23" s="6">
        <f t="shared" si="6"/>
        <v>2.0086298320163575E-2</v>
      </c>
    </row>
    <row r="24" spans="3:46" x14ac:dyDescent="0.2">
      <c r="C24" s="20" t="s">
        <v>303</v>
      </c>
      <c r="D24" s="21"/>
      <c r="E24" s="22">
        <f t="shared" ref="E24:AT24" si="7">+SUM(E21,E22)*E23</f>
        <v>-669.82400000000007</v>
      </c>
      <c r="F24" s="22">
        <f t="shared" si="7"/>
        <v>-1508.2254545454546</v>
      </c>
      <c r="G24" s="22">
        <f t="shared" si="7"/>
        <v>-2340.7438016528927</v>
      </c>
      <c r="H24" s="22">
        <f t="shared" si="7"/>
        <v>-946.91810668670144</v>
      </c>
      <c r="I24" s="22">
        <f t="shared" si="7"/>
        <v>641.90424151355762</v>
      </c>
      <c r="J24" s="22">
        <f t="shared" si="7"/>
        <v>666.86950096553244</v>
      </c>
      <c r="K24" s="22">
        <f t="shared" si="7"/>
        <v>560.52261254340078</v>
      </c>
      <c r="L24" s="22">
        <f t="shared" si="7"/>
        <v>514.69759258539852</v>
      </c>
      <c r="M24" s="22">
        <f t="shared" si="7"/>
        <v>473.97149829308887</v>
      </c>
      <c r="N24" s="22">
        <f t="shared" si="7"/>
        <v>436.39644930528669</v>
      </c>
      <c r="O24" s="22">
        <f t="shared" si="7"/>
        <v>401.7361075855718</v>
      </c>
      <c r="P24" s="22">
        <f t="shared" si="7"/>
        <v>369.77106395286876</v>
      </c>
      <c r="Q24" s="22">
        <f t="shared" si="7"/>
        <v>340.29771331466083</v>
      </c>
      <c r="R24" s="22">
        <f t="shared" si="7"/>
        <v>317.24042868762047</v>
      </c>
      <c r="S24" s="22">
        <f t="shared" si="7"/>
        <v>295.56299983314392</v>
      </c>
      <c r="T24" s="22">
        <f t="shared" si="7"/>
        <v>275.20509995479028</v>
      </c>
      <c r="U24" s="22">
        <f t="shared" si="7"/>
        <v>256.10596699784685</v>
      </c>
      <c r="V24" s="22">
        <f t="shared" si="7"/>
        <v>238.20498135576261</v>
      </c>
      <c r="W24" s="22">
        <f t="shared" si="7"/>
        <v>221.44214213622388</v>
      </c>
      <c r="X24" s="22">
        <f t="shared" si="7"/>
        <v>205.7584556561404</v>
      </c>
      <c r="Y24" s="22">
        <f t="shared" si="7"/>
        <v>191.09624818783894</v>
      </c>
      <c r="Z24" s="22">
        <f t="shared" si="7"/>
        <v>177.39941351826874</v>
      </c>
      <c r="AA24" s="22">
        <f t="shared" si="7"/>
        <v>164.61360458872085</v>
      </c>
      <c r="AB24" s="22">
        <f t="shared" si="7"/>
        <v>139.34083747988262</v>
      </c>
      <c r="AC24" s="22">
        <f t="shared" si="7"/>
        <v>117.30267592315782</v>
      </c>
      <c r="AD24" s="22">
        <f t="shared" si="7"/>
        <v>98.119875662036804</v>
      </c>
      <c r="AE24" s="22">
        <f t="shared" si="7"/>
        <v>81.455413663903443</v>
      </c>
      <c r="AF24" s="22">
        <f t="shared" si="7"/>
        <v>67.00994578392627</v>
      </c>
      <c r="AG24" s="22">
        <f t="shared" si="7"/>
        <v>54.517741372507714</v>
      </c>
      <c r="AH24" s="22">
        <f t="shared" si="7"/>
        <v>43.743045649248522</v>
      </c>
      <c r="AI24" s="22">
        <f t="shared" si="7"/>
        <v>34.476825665982666</v>
      </c>
      <c r="AJ24" s="22">
        <f t="shared" si="7"/>
        <v>26.533860178440786</v>
      </c>
      <c r="AK24" s="22">
        <f t="shared" si="7"/>
        <v>19.750137790567798</v>
      </c>
      <c r="AL24" s="22">
        <f t="shared" si="7"/>
        <v>16.337650014482726</v>
      </c>
      <c r="AM24" s="22">
        <f t="shared" si="7"/>
        <v>13.382390282061321</v>
      </c>
      <c r="AN24" s="22">
        <f t="shared" si="7"/>
        <v>10.829428600043119</v>
      </c>
      <c r="AO24" s="22">
        <f t="shared" si="7"/>
        <v>8.6300435025070659</v>
      </c>
      <c r="AP24" s="22">
        <f t="shared" si="7"/>
        <v>6.741047194605307</v>
      </c>
      <c r="AQ24" s="22">
        <f t="shared" si="7"/>
        <v>5.1241820872930655</v>
      </c>
      <c r="AR24" s="22">
        <f t="shared" si="7"/>
        <v>3.7455813201978825</v>
      </c>
      <c r="AS24" s="22">
        <f t="shared" si="7"/>
        <v>2.575286625737419</v>
      </c>
      <c r="AT24" s="22">
        <f t="shared" si="7"/>
        <v>1.5868175672929223</v>
      </c>
    </row>
    <row r="25" spans="3:46" s="5" customFormat="1" x14ac:dyDescent="0.2">
      <c r="C25" s="12" t="s">
        <v>313</v>
      </c>
      <c r="E25" s="24">
        <f>+SUM($E$24:E24)</f>
        <v>-669.82400000000007</v>
      </c>
      <c r="F25" s="24">
        <f>+SUM($E$24:F24)</f>
        <v>-2178.0494545454549</v>
      </c>
      <c r="G25" s="24">
        <f>+SUM($E$24:G24)</f>
        <v>-4518.7932561983471</v>
      </c>
      <c r="H25" s="24">
        <f>+SUM($E$24:H24)</f>
        <v>-5465.7113628850484</v>
      </c>
      <c r="I25" s="24">
        <f>+SUM($E$24:I24)</f>
        <v>-4823.8071213714911</v>
      </c>
      <c r="J25" s="24">
        <f>+SUM($E$24:J24)</f>
        <v>-4156.937620405959</v>
      </c>
      <c r="K25" s="24">
        <f>+SUM($E$24:K24)</f>
        <v>-3596.415007862558</v>
      </c>
      <c r="L25" s="24">
        <f>+SUM($E$24:L24)</f>
        <v>-3081.7174152771595</v>
      </c>
      <c r="M25" s="24">
        <f>+SUM($E$24:M24)</f>
        <v>-2607.7459169840704</v>
      </c>
      <c r="N25" s="24">
        <f>+SUM($E$24:N24)</f>
        <v>-2171.3494676787836</v>
      </c>
      <c r="O25" s="24">
        <f>+SUM($E$24:O24)</f>
        <v>-1769.6133600932119</v>
      </c>
      <c r="P25" s="24">
        <f>+SUM($E$24:P24)</f>
        <v>-1399.842296140343</v>
      </c>
      <c r="Q25" s="24">
        <f>+SUM($E$24:Q24)</f>
        <v>-1059.5445828256823</v>
      </c>
      <c r="R25" s="24">
        <f>+SUM($E$24:R24)</f>
        <v>-742.30415413806179</v>
      </c>
      <c r="S25" s="24">
        <f>+SUM($E$24:S24)</f>
        <v>-446.74115430491787</v>
      </c>
      <c r="T25" s="24">
        <f>+SUM($E$24:T24)</f>
        <v>-171.53605435012759</v>
      </c>
      <c r="U25" s="24">
        <f>+SUM($E$24:U24)</f>
        <v>84.569912647719264</v>
      </c>
      <c r="V25" s="24">
        <f>+SUM($E$24:V24)</f>
        <v>322.7748940034819</v>
      </c>
      <c r="W25" s="24">
        <f>+SUM($E$24:W24)</f>
        <v>544.21703613970578</v>
      </c>
      <c r="X25" s="24">
        <f>+SUM($E$24:X24)</f>
        <v>749.97549179584621</v>
      </c>
      <c r="Y25" s="24">
        <f>+SUM($E$24:Y24)</f>
        <v>941.07173998368512</v>
      </c>
      <c r="Z25" s="24">
        <f>+SUM($E$24:Z24)</f>
        <v>1118.4711535019539</v>
      </c>
      <c r="AA25" s="24">
        <f>+SUM($E$24:AA24)</f>
        <v>1283.0847580906748</v>
      </c>
      <c r="AB25" s="24">
        <f>+SUM($E$24:AB24)</f>
        <v>1422.4255955705573</v>
      </c>
      <c r="AC25" s="24">
        <f>+SUM($E$24:AC24)</f>
        <v>1539.7282714937151</v>
      </c>
      <c r="AD25" s="24">
        <f>+SUM($E$24:AD24)</f>
        <v>1637.8481471557518</v>
      </c>
      <c r="AE25" s="24">
        <f>+SUM($E$24:AE24)</f>
        <v>1719.3035608196553</v>
      </c>
      <c r="AF25" s="24">
        <f>+SUM($E$24:AF24)</f>
        <v>1786.3135066035816</v>
      </c>
      <c r="AG25" s="24">
        <f>+SUM($E$24:AG24)</f>
        <v>1840.8312479760893</v>
      </c>
      <c r="AH25" s="24">
        <f>+SUM($E$24:AH24)</f>
        <v>1884.5742936253378</v>
      </c>
      <c r="AI25" s="24">
        <f>+SUM($E$24:AI24)</f>
        <v>1919.0511192913204</v>
      </c>
      <c r="AJ25" s="24">
        <f>+SUM($E$24:AJ24)</f>
        <v>1945.5849794697613</v>
      </c>
      <c r="AK25" s="24">
        <f>+SUM($E$24:AK24)</f>
        <v>1965.3351172603291</v>
      </c>
      <c r="AL25" s="24">
        <f>+SUM($E$24:AL24)</f>
        <v>1981.6727672748118</v>
      </c>
      <c r="AM25" s="24">
        <f>+SUM($E$24:AM24)</f>
        <v>1995.0551575568732</v>
      </c>
      <c r="AN25" s="24">
        <f>+SUM($E$24:AN24)</f>
        <v>2005.8845861569164</v>
      </c>
      <c r="AO25" s="24">
        <f>+SUM($E$24:AO24)</f>
        <v>2014.5146296594235</v>
      </c>
      <c r="AP25" s="24">
        <f>+SUM($E$24:AP24)</f>
        <v>2021.2556768540287</v>
      </c>
      <c r="AQ25" s="24">
        <f>+SUM($E$24:AQ24)</f>
        <v>2026.3798589413218</v>
      </c>
      <c r="AR25" s="24">
        <f>+SUM($E$24:AR24)</f>
        <v>2030.1254402615198</v>
      </c>
      <c r="AS25" s="24">
        <f>+SUM($E$24:AS24)</f>
        <v>2032.7007268872571</v>
      </c>
      <c r="AT25" s="24">
        <f>+SUM($E$24:AT24)</f>
        <v>2034.28754445455</v>
      </c>
    </row>
  </sheetData>
  <pageMargins left="0.7" right="0.7" top="0.75" bottom="0.75" header="0.3" footer="0.3"/>
  <pageSetup scale="30"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ED02-6578-4351-99A8-6B92DA187A87}">
  <sheetPr codeName="Sheet2"/>
  <dimension ref="C2:AT23"/>
  <sheetViews>
    <sheetView showGridLines="0" view="pageBreakPreview" zoomScaleNormal="100" zoomScaleSheetLayoutView="100" workbookViewId="0">
      <selection activeCell="E10" sqref="E10"/>
    </sheetView>
  </sheetViews>
  <sheetFormatPr defaultColWidth="8.7109375" defaultRowHeight="12.75" x14ac:dyDescent="0.2"/>
  <cols>
    <col min="2" max="2" width="1.7109375" customWidth="1"/>
    <col min="3" max="4" width="15.7109375" customWidth="1"/>
    <col min="5" max="5" width="8.7109375" customWidth="1"/>
    <col min="46" max="46" width="10.85546875" bestFit="1" customWidth="1"/>
    <col min="47" max="47" width="1.7109375" customWidth="1"/>
  </cols>
  <sheetData>
    <row r="2" spans="3:46" x14ac:dyDescent="0.2">
      <c r="C2" t="s">
        <v>1</v>
      </c>
      <c r="E2" s="13"/>
    </row>
    <row r="5" spans="3:46" ht="15.75" x14ac:dyDescent="0.25">
      <c r="C5" s="17" t="s">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8" t="s">
        <v>306</v>
      </c>
    </row>
    <row r="6" spans="3:46" x14ac:dyDescent="0.2">
      <c r="C6" s="73" t="s">
        <v>463</v>
      </c>
      <c r="AT6" s="19">
        <f ca="1">+TODAY()</f>
        <v>43508</v>
      </c>
    </row>
    <row r="7" spans="3:46" ht="8.1" customHeight="1" x14ac:dyDescent="0.2"/>
    <row r="8" spans="3:46" x14ac:dyDescent="0.2">
      <c r="C8" s="5" t="s">
        <v>462</v>
      </c>
    </row>
    <row r="9" spans="3:46" ht="8.1" customHeight="1" x14ac:dyDescent="0.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3:46" x14ac:dyDescent="0.2">
      <c r="C10" s="8" t="s">
        <v>307</v>
      </c>
      <c r="D10" s="9"/>
      <c r="E10" s="102">
        <v>0.1</v>
      </c>
      <c r="F10" s="1"/>
      <c r="G10" s="1"/>
      <c r="H10" s="1"/>
      <c r="I10" s="1"/>
      <c r="J10" s="1"/>
      <c r="K10" s="1"/>
      <c r="L10" s="1"/>
      <c r="M10" s="10"/>
      <c r="N10" s="10"/>
      <c r="O10" s="10"/>
      <c r="P10" s="10"/>
    </row>
    <row r="11" spans="3:46" ht="15" customHeight="1" x14ac:dyDescent="0.2">
      <c r="F11" s="1"/>
      <c r="G11" s="1"/>
      <c r="H11" s="1"/>
      <c r="I11" s="1"/>
      <c r="J11" s="1"/>
      <c r="K11" s="1"/>
      <c r="L11" s="1"/>
      <c r="M11" s="1"/>
      <c r="N11" s="1"/>
      <c r="O11" s="1"/>
      <c r="P11" s="1"/>
    </row>
    <row r="12" spans="3:46" x14ac:dyDescent="0.2">
      <c r="C12" s="26" t="s">
        <v>301</v>
      </c>
      <c r="D12" s="27"/>
      <c r="E12" s="98">
        <f>+SUM(E22:AT22)</f>
        <v>1581.2389865691596</v>
      </c>
      <c r="F12" s="1"/>
      <c r="G12" s="1"/>
      <c r="H12" s="1"/>
      <c r="I12" s="1"/>
      <c r="J12" s="1"/>
      <c r="K12" s="1"/>
      <c r="L12" s="1"/>
      <c r="M12" s="1"/>
      <c r="N12" s="1"/>
      <c r="O12" s="1"/>
      <c r="P12" s="1"/>
    </row>
    <row r="13" spans="3:46" x14ac:dyDescent="0.2">
      <c r="C13" s="28" t="s">
        <v>302</v>
      </c>
      <c r="D13" s="25"/>
      <c r="E13" s="29">
        <v>1394</v>
      </c>
      <c r="F13" s="1"/>
      <c r="G13" s="1"/>
      <c r="H13" s="1"/>
      <c r="I13" s="1"/>
      <c r="J13" s="1"/>
      <c r="K13" s="1"/>
      <c r="L13" s="1"/>
      <c r="M13" s="1"/>
      <c r="N13" s="1"/>
      <c r="O13" s="1"/>
      <c r="P13" s="1"/>
    </row>
    <row r="14" spans="3:46" x14ac:dyDescent="0.2">
      <c r="C14" s="32" t="s">
        <v>2</v>
      </c>
      <c r="D14" s="30"/>
      <c r="E14" s="31">
        <f>+E12-E13</f>
        <v>187.23898656915958</v>
      </c>
      <c r="F14" s="1"/>
      <c r="G14" s="1"/>
      <c r="H14" s="1"/>
      <c r="I14" s="1"/>
      <c r="J14" s="1"/>
      <c r="K14" s="1"/>
      <c r="L14" s="1"/>
      <c r="M14" s="1"/>
      <c r="N14" s="1"/>
      <c r="O14" s="1"/>
      <c r="P14" s="1"/>
    </row>
    <row r="15" spans="3:46" x14ac:dyDescent="0.2">
      <c r="F15" s="1"/>
      <c r="G15" s="1"/>
      <c r="H15" s="1"/>
      <c r="I15" s="1"/>
      <c r="J15" s="1"/>
      <c r="K15" s="1"/>
      <c r="L15" s="1"/>
      <c r="M15" s="1"/>
      <c r="N15" s="1"/>
      <c r="O15" s="1"/>
      <c r="P15" s="1"/>
    </row>
    <row r="16" spans="3:46" x14ac:dyDescent="0.2">
      <c r="E16" s="1"/>
      <c r="F16" s="1"/>
      <c r="G16" s="1"/>
      <c r="H16" s="14" t="s">
        <v>304</v>
      </c>
      <c r="I16" s="14"/>
      <c r="J16" s="14"/>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6" t="s">
        <v>305</v>
      </c>
      <c r="AL16" s="15"/>
      <c r="AM16" s="15"/>
      <c r="AN16" s="15"/>
      <c r="AO16" s="15"/>
      <c r="AP16" s="15"/>
      <c r="AQ16" s="15"/>
      <c r="AR16" s="15"/>
      <c r="AS16" s="15"/>
      <c r="AT16" s="15"/>
    </row>
    <row r="17" spans="3:46" x14ac:dyDescent="0.2">
      <c r="E17" s="1"/>
      <c r="F17" s="1"/>
      <c r="G17" s="1"/>
      <c r="H17" s="1"/>
      <c r="I17" s="1"/>
      <c r="J17" s="1"/>
      <c r="K17" s="1"/>
      <c r="L17" s="1"/>
      <c r="M17" s="1"/>
      <c r="N17" s="1"/>
      <c r="O17" s="1"/>
      <c r="P17" s="1"/>
    </row>
    <row r="18" spans="3:46" x14ac:dyDescent="0.2">
      <c r="E18" s="3">
        <v>2018</v>
      </c>
      <c r="F18" s="3">
        <f>+E18+1</f>
        <v>2019</v>
      </c>
      <c r="G18" s="3">
        <f>+F18+1</f>
        <v>2020</v>
      </c>
      <c r="H18" s="3">
        <f t="shared" ref="H18:P18" si="0">+G18+1</f>
        <v>2021</v>
      </c>
      <c r="I18" s="3">
        <f t="shared" si="0"/>
        <v>2022</v>
      </c>
      <c r="J18" s="3">
        <f t="shared" si="0"/>
        <v>2023</v>
      </c>
      <c r="K18" s="3">
        <f t="shared" si="0"/>
        <v>2024</v>
      </c>
      <c r="L18" s="3">
        <f t="shared" si="0"/>
        <v>2025</v>
      </c>
      <c r="M18" s="3">
        <f t="shared" si="0"/>
        <v>2026</v>
      </c>
      <c r="N18" s="3">
        <f t="shared" si="0"/>
        <v>2027</v>
      </c>
      <c r="O18" s="3">
        <f t="shared" si="0"/>
        <v>2028</v>
      </c>
      <c r="P18" s="3">
        <f t="shared" si="0"/>
        <v>2029</v>
      </c>
      <c r="Q18" s="3">
        <f>+P18+1</f>
        <v>2030</v>
      </c>
      <c r="R18" s="3">
        <f t="shared" ref="R18:AS18" si="1">+Q18+1</f>
        <v>2031</v>
      </c>
      <c r="S18" s="3">
        <f t="shared" si="1"/>
        <v>2032</v>
      </c>
      <c r="T18" s="3">
        <f t="shared" si="1"/>
        <v>2033</v>
      </c>
      <c r="U18" s="3">
        <f t="shared" si="1"/>
        <v>2034</v>
      </c>
      <c r="V18" s="3">
        <f t="shared" si="1"/>
        <v>2035</v>
      </c>
      <c r="W18" s="3">
        <f t="shared" si="1"/>
        <v>2036</v>
      </c>
      <c r="X18" s="3">
        <f t="shared" si="1"/>
        <v>2037</v>
      </c>
      <c r="Y18" s="3">
        <f t="shared" si="1"/>
        <v>2038</v>
      </c>
      <c r="Z18" s="3">
        <f t="shared" si="1"/>
        <v>2039</v>
      </c>
      <c r="AA18" s="3">
        <f t="shared" si="1"/>
        <v>2040</v>
      </c>
      <c r="AB18" s="3">
        <f t="shared" si="1"/>
        <v>2041</v>
      </c>
      <c r="AC18" s="3">
        <f t="shared" si="1"/>
        <v>2042</v>
      </c>
      <c r="AD18" s="3">
        <f t="shared" si="1"/>
        <v>2043</v>
      </c>
      <c r="AE18" s="3">
        <f t="shared" si="1"/>
        <v>2044</v>
      </c>
      <c r="AF18" s="3">
        <f t="shared" si="1"/>
        <v>2045</v>
      </c>
      <c r="AG18" s="3">
        <f t="shared" si="1"/>
        <v>2046</v>
      </c>
      <c r="AH18" s="3">
        <f t="shared" si="1"/>
        <v>2047</v>
      </c>
      <c r="AI18" s="3">
        <f t="shared" si="1"/>
        <v>2048</v>
      </c>
      <c r="AJ18" s="3">
        <f t="shared" si="1"/>
        <v>2049</v>
      </c>
      <c r="AK18" s="3">
        <f t="shared" si="1"/>
        <v>2050</v>
      </c>
      <c r="AL18" s="3">
        <f t="shared" si="1"/>
        <v>2051</v>
      </c>
      <c r="AM18" s="3">
        <f t="shared" si="1"/>
        <v>2052</v>
      </c>
      <c r="AN18" s="3">
        <f t="shared" si="1"/>
        <v>2053</v>
      </c>
      <c r="AO18" s="3">
        <f t="shared" si="1"/>
        <v>2054</v>
      </c>
      <c r="AP18" s="3">
        <f t="shared" si="1"/>
        <v>2055</v>
      </c>
      <c r="AQ18" s="3">
        <f t="shared" si="1"/>
        <v>2056</v>
      </c>
      <c r="AR18" s="3">
        <f t="shared" si="1"/>
        <v>2057</v>
      </c>
      <c r="AS18" s="3">
        <f t="shared" si="1"/>
        <v>2058</v>
      </c>
      <c r="AT18" s="3">
        <v>2059</v>
      </c>
    </row>
    <row r="19" spans="3:46" x14ac:dyDescent="0.2">
      <c r="C19" s="11" t="s">
        <v>312</v>
      </c>
      <c r="E19" s="7">
        <v>-724</v>
      </c>
      <c r="F19" s="7">
        <v>-1796</v>
      </c>
      <c r="G19" s="7">
        <v>-3066</v>
      </c>
      <c r="H19" s="7">
        <v>-1365</v>
      </c>
      <c r="I19" s="7">
        <v>936</v>
      </c>
      <c r="J19" s="7">
        <v>1074</v>
      </c>
      <c r="K19" s="7">
        <v>993</v>
      </c>
      <c r="L19" s="7">
        <v>1003</v>
      </c>
      <c r="M19" s="10">
        <f>+L19-(($L$19-$Q$19)/($Q$18-$L$18))</f>
        <v>1016</v>
      </c>
      <c r="N19" s="10">
        <f t="shared" ref="N19:P19" si="2">+M19-(($L$19-$Q$19)/($Q$18-$L$18))</f>
        <v>1029</v>
      </c>
      <c r="O19" s="10">
        <f t="shared" si="2"/>
        <v>1042</v>
      </c>
      <c r="P19" s="10">
        <f t="shared" si="2"/>
        <v>1055</v>
      </c>
      <c r="Q19" s="7">
        <v>1068</v>
      </c>
      <c r="R19" s="10">
        <f>+Q19-(($Q$19-$AA$19)/($AA$18-$Q$18))</f>
        <v>1095.2</v>
      </c>
      <c r="S19" s="10">
        <f t="shared" ref="S19:Z19" si="3">+R19-(($Q$19-$AA$19)/($AA$18-$Q$18))</f>
        <v>1122.4000000000001</v>
      </c>
      <c r="T19" s="10">
        <f>+S19-(($Q$19-$AA$19)/($AA$18-$Q$18))</f>
        <v>1149.6000000000001</v>
      </c>
      <c r="U19" s="10">
        <f>+T19-(($Q$19-$AA$19)/($AA$18-$Q$18))</f>
        <v>1176.8000000000002</v>
      </c>
      <c r="V19" s="10">
        <f t="shared" si="3"/>
        <v>1204.0000000000002</v>
      </c>
      <c r="W19" s="10">
        <f t="shared" si="3"/>
        <v>1231.2000000000003</v>
      </c>
      <c r="X19" s="10">
        <f t="shared" si="3"/>
        <v>1258.4000000000003</v>
      </c>
      <c r="Y19" s="10">
        <f t="shared" si="3"/>
        <v>1285.6000000000004</v>
      </c>
      <c r="Z19" s="10">
        <f t="shared" si="3"/>
        <v>1312.8000000000004</v>
      </c>
      <c r="AA19" s="7">
        <v>1340</v>
      </c>
      <c r="AB19" s="10">
        <f>+AA19-(($AA$19-$AK$19)/($AK$18-$AA$18))</f>
        <v>1247.7</v>
      </c>
      <c r="AC19" s="10">
        <f t="shared" ref="AC19:AJ19" si="4">+AB19-(($AA$19-$AK$19)/($AK$18-$AA$18))</f>
        <v>1155.4000000000001</v>
      </c>
      <c r="AD19" s="10">
        <f t="shared" si="4"/>
        <v>1063.1000000000001</v>
      </c>
      <c r="AE19" s="10">
        <f t="shared" si="4"/>
        <v>970.80000000000018</v>
      </c>
      <c r="AF19" s="10">
        <f t="shared" si="4"/>
        <v>878.50000000000023</v>
      </c>
      <c r="AG19" s="10">
        <f t="shared" si="4"/>
        <v>786.20000000000027</v>
      </c>
      <c r="AH19" s="10">
        <f t="shared" si="4"/>
        <v>693.90000000000032</v>
      </c>
      <c r="AI19" s="10">
        <f t="shared" si="4"/>
        <v>601.60000000000036</v>
      </c>
      <c r="AJ19" s="10">
        <f t="shared" si="4"/>
        <v>509.30000000000035</v>
      </c>
      <c r="AK19" s="7">
        <v>417</v>
      </c>
      <c r="AL19" s="10">
        <f>+AK19-(($AK$19-$AT$19)/($AT$18-$AK$18))</f>
        <v>379.44444444444446</v>
      </c>
      <c r="AM19" s="10">
        <f t="shared" ref="AM19:AS19" si="5">+AL19-(($AK$19-$AT$19)/($AT$18-$AK$18))</f>
        <v>341.88888888888891</v>
      </c>
      <c r="AN19" s="10">
        <f t="shared" si="5"/>
        <v>304.33333333333337</v>
      </c>
      <c r="AO19" s="10">
        <f t="shared" si="5"/>
        <v>266.77777777777783</v>
      </c>
      <c r="AP19" s="10">
        <f t="shared" si="5"/>
        <v>229.22222222222229</v>
      </c>
      <c r="AQ19" s="10">
        <f t="shared" si="5"/>
        <v>191.66666666666674</v>
      </c>
      <c r="AR19" s="10">
        <f t="shared" si="5"/>
        <v>154.1111111111112</v>
      </c>
      <c r="AS19" s="10">
        <f t="shared" si="5"/>
        <v>116.55555555555564</v>
      </c>
      <c r="AT19" s="7">
        <v>79</v>
      </c>
    </row>
    <row r="20" spans="3:46" x14ac:dyDescent="0.2">
      <c r="C20" s="11" t="s">
        <v>311</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row>
    <row r="21" spans="3:46" s="5" customFormat="1" x14ac:dyDescent="0.2">
      <c r="C21" s="12" t="str">
        <f>+CONCATENATE("Facteur d'escompte @ ",E10*100,"%")</f>
        <v>Facteur d'escompte @ 10%</v>
      </c>
      <c r="E21" s="6">
        <f t="shared" ref="E21:AT21" si="6">+(1+$E$10)^-(E18-($E$18))</f>
        <v>1</v>
      </c>
      <c r="F21" s="6">
        <f>+(1+$E$10)^-(F18-($E$18))</f>
        <v>0.90909090909090906</v>
      </c>
      <c r="G21" s="6">
        <f t="shared" si="6"/>
        <v>0.82644628099173545</v>
      </c>
      <c r="H21" s="6">
        <f t="shared" si="6"/>
        <v>0.75131480090157754</v>
      </c>
      <c r="I21" s="6">
        <f t="shared" si="6"/>
        <v>0.68301345536507052</v>
      </c>
      <c r="J21" s="6">
        <f t="shared" si="6"/>
        <v>0.62092132305915493</v>
      </c>
      <c r="K21" s="6">
        <f t="shared" si="6"/>
        <v>0.56447393005377722</v>
      </c>
      <c r="L21" s="6">
        <f t="shared" si="6"/>
        <v>0.51315811823070645</v>
      </c>
      <c r="M21" s="6">
        <f t="shared" si="6"/>
        <v>0.46650738020973315</v>
      </c>
      <c r="N21" s="6">
        <f t="shared" si="6"/>
        <v>0.42409761837248466</v>
      </c>
      <c r="O21" s="6">
        <f t="shared" si="6"/>
        <v>0.38554328942953148</v>
      </c>
      <c r="P21" s="6">
        <f t="shared" si="6"/>
        <v>0.3504938994813922</v>
      </c>
      <c r="Q21" s="6">
        <f t="shared" si="6"/>
        <v>0.31863081771035656</v>
      </c>
      <c r="R21" s="6">
        <f t="shared" si="6"/>
        <v>0.28966437973668779</v>
      </c>
      <c r="S21" s="6">
        <f t="shared" si="6"/>
        <v>0.26333125430607973</v>
      </c>
      <c r="T21" s="6">
        <f t="shared" si="6"/>
        <v>0.23939204936916339</v>
      </c>
      <c r="U21" s="6">
        <f t="shared" si="6"/>
        <v>0.21762913579014853</v>
      </c>
      <c r="V21" s="6">
        <f t="shared" si="6"/>
        <v>0.19784466890013502</v>
      </c>
      <c r="W21" s="6">
        <f t="shared" si="6"/>
        <v>0.17985878990921364</v>
      </c>
      <c r="X21" s="6">
        <f t="shared" si="6"/>
        <v>0.16350799082655781</v>
      </c>
      <c r="Y21" s="6">
        <f t="shared" si="6"/>
        <v>0.14864362802414349</v>
      </c>
      <c r="Z21" s="6">
        <f t="shared" si="6"/>
        <v>0.13513057093103953</v>
      </c>
      <c r="AA21" s="6">
        <f t="shared" si="6"/>
        <v>0.12284597357367227</v>
      </c>
      <c r="AB21" s="6">
        <f t="shared" si="6"/>
        <v>0.11167815779424752</v>
      </c>
      <c r="AC21" s="6">
        <f t="shared" si="6"/>
        <v>0.10152559799477048</v>
      </c>
      <c r="AD21" s="6">
        <f t="shared" si="6"/>
        <v>9.2295998177064048E-2</v>
      </c>
      <c r="AE21" s="6">
        <f t="shared" si="6"/>
        <v>8.3905452888240042E-2</v>
      </c>
      <c r="AF21" s="6">
        <f t="shared" si="6"/>
        <v>7.6277684443854576E-2</v>
      </c>
      <c r="AG21" s="6">
        <f t="shared" si="6"/>
        <v>6.9343349494413245E-2</v>
      </c>
      <c r="AH21" s="6">
        <f t="shared" si="6"/>
        <v>6.3039408631284766E-2</v>
      </c>
      <c r="AI21" s="6">
        <f t="shared" si="6"/>
        <v>5.7308553301167964E-2</v>
      </c>
      <c r="AJ21" s="6">
        <f t="shared" si="6"/>
        <v>5.2098684819243603E-2</v>
      </c>
      <c r="AK21" s="6">
        <f t="shared" si="6"/>
        <v>4.7362440744766907E-2</v>
      </c>
      <c r="AL21" s="6">
        <f t="shared" si="6"/>
        <v>4.3056764313424457E-2</v>
      </c>
      <c r="AM21" s="6">
        <f t="shared" si="6"/>
        <v>3.9142513012204054E-2</v>
      </c>
      <c r="AN21" s="6">
        <f t="shared" si="6"/>
        <v>3.5584102738367311E-2</v>
      </c>
      <c r="AO21" s="6">
        <f t="shared" si="6"/>
        <v>3.2349184307606652E-2</v>
      </c>
      <c r="AP21" s="6">
        <f t="shared" si="6"/>
        <v>2.94083493705515E-2</v>
      </c>
      <c r="AQ21" s="6">
        <f t="shared" si="6"/>
        <v>2.6734863064137721E-2</v>
      </c>
      <c r="AR21" s="6">
        <f t="shared" si="6"/>
        <v>2.4304420967397926E-2</v>
      </c>
      <c r="AS21" s="6">
        <f t="shared" si="6"/>
        <v>2.2094928152179935E-2</v>
      </c>
      <c r="AT21" s="6">
        <f t="shared" si="6"/>
        <v>2.0086298320163575E-2</v>
      </c>
    </row>
    <row r="22" spans="3:46" x14ac:dyDescent="0.2">
      <c r="C22" s="20" t="s">
        <v>303</v>
      </c>
      <c r="D22" s="21"/>
      <c r="E22" s="22">
        <f t="shared" ref="E22:AT22" si="7">+SUM(E19,E20)*E21</f>
        <v>-724</v>
      </c>
      <c r="F22" s="22">
        <f t="shared" si="7"/>
        <v>-1632.7272727272727</v>
      </c>
      <c r="G22" s="22">
        <f t="shared" si="7"/>
        <v>-2533.8842975206608</v>
      </c>
      <c r="H22" s="22">
        <f t="shared" si="7"/>
        <v>-1025.5447032306533</v>
      </c>
      <c r="I22" s="22">
        <f t="shared" si="7"/>
        <v>639.30059422170598</v>
      </c>
      <c r="J22" s="22">
        <f t="shared" si="7"/>
        <v>666.86950096553244</v>
      </c>
      <c r="K22" s="22">
        <f t="shared" si="7"/>
        <v>560.52261254340078</v>
      </c>
      <c r="L22" s="22">
        <f t="shared" si="7"/>
        <v>514.69759258539852</v>
      </c>
      <c r="M22" s="22">
        <f t="shared" si="7"/>
        <v>473.97149829308887</v>
      </c>
      <c r="N22" s="22">
        <f t="shared" si="7"/>
        <v>436.39644930528669</v>
      </c>
      <c r="O22" s="22">
        <f t="shared" si="7"/>
        <v>401.7361075855718</v>
      </c>
      <c r="P22" s="22">
        <f t="shared" si="7"/>
        <v>369.77106395286876</v>
      </c>
      <c r="Q22" s="22">
        <f t="shared" si="7"/>
        <v>340.29771331466083</v>
      </c>
      <c r="R22" s="22">
        <f t="shared" si="7"/>
        <v>317.24042868762047</v>
      </c>
      <c r="S22" s="22">
        <f t="shared" si="7"/>
        <v>295.56299983314392</v>
      </c>
      <c r="T22" s="22">
        <f t="shared" si="7"/>
        <v>275.20509995479028</v>
      </c>
      <c r="U22" s="22">
        <f t="shared" si="7"/>
        <v>256.10596699784685</v>
      </c>
      <c r="V22" s="22">
        <f t="shared" si="7"/>
        <v>238.20498135576261</v>
      </c>
      <c r="W22" s="22">
        <f t="shared" si="7"/>
        <v>221.44214213622388</v>
      </c>
      <c r="X22" s="22">
        <f t="shared" si="7"/>
        <v>205.7584556561404</v>
      </c>
      <c r="Y22" s="22">
        <f t="shared" si="7"/>
        <v>191.09624818783894</v>
      </c>
      <c r="Z22" s="22">
        <f t="shared" si="7"/>
        <v>177.39941351826874</v>
      </c>
      <c r="AA22" s="22">
        <f t="shared" si="7"/>
        <v>164.61360458872085</v>
      </c>
      <c r="AB22" s="22">
        <f t="shared" si="7"/>
        <v>139.34083747988262</v>
      </c>
      <c r="AC22" s="22">
        <f t="shared" si="7"/>
        <v>117.30267592315782</v>
      </c>
      <c r="AD22" s="22">
        <f t="shared" si="7"/>
        <v>98.119875662036804</v>
      </c>
      <c r="AE22" s="22">
        <f t="shared" si="7"/>
        <v>81.455413663903443</v>
      </c>
      <c r="AF22" s="22">
        <f t="shared" si="7"/>
        <v>67.00994578392627</v>
      </c>
      <c r="AG22" s="22">
        <f t="shared" si="7"/>
        <v>54.517741372507714</v>
      </c>
      <c r="AH22" s="22">
        <f t="shared" si="7"/>
        <v>43.743045649248522</v>
      </c>
      <c r="AI22" s="22">
        <f t="shared" si="7"/>
        <v>34.476825665982666</v>
      </c>
      <c r="AJ22" s="22">
        <f t="shared" si="7"/>
        <v>26.533860178440786</v>
      </c>
      <c r="AK22" s="22">
        <f t="shared" si="7"/>
        <v>19.750137790567798</v>
      </c>
      <c r="AL22" s="22">
        <f t="shared" si="7"/>
        <v>16.337650014482726</v>
      </c>
      <c r="AM22" s="22">
        <f t="shared" si="7"/>
        <v>13.382390282061321</v>
      </c>
      <c r="AN22" s="22">
        <f t="shared" si="7"/>
        <v>10.829428600043119</v>
      </c>
      <c r="AO22" s="22">
        <f t="shared" si="7"/>
        <v>8.6300435025070659</v>
      </c>
      <c r="AP22" s="22">
        <f t="shared" si="7"/>
        <v>6.741047194605307</v>
      </c>
      <c r="AQ22" s="22">
        <f t="shared" si="7"/>
        <v>5.1241820872930655</v>
      </c>
      <c r="AR22" s="22">
        <f t="shared" si="7"/>
        <v>3.7455813201978825</v>
      </c>
      <c r="AS22" s="22">
        <f t="shared" si="7"/>
        <v>2.575286625737419</v>
      </c>
      <c r="AT22" s="22">
        <f t="shared" si="7"/>
        <v>1.5868175672929223</v>
      </c>
    </row>
    <row r="23" spans="3:46" s="5" customFormat="1" x14ac:dyDescent="0.2">
      <c r="C23" s="12" t="s">
        <v>313</v>
      </c>
      <c r="E23" s="24">
        <f>+SUM($E$22:E22)</f>
        <v>-724</v>
      </c>
      <c r="F23" s="24">
        <f>+SUM($E$22:F22)</f>
        <v>-2356.727272727273</v>
      </c>
      <c r="G23" s="24">
        <f>+SUM($E$22:G22)</f>
        <v>-4890.6115702479337</v>
      </c>
      <c r="H23" s="24">
        <f>+SUM($E$22:H22)</f>
        <v>-5916.1562734785875</v>
      </c>
      <c r="I23" s="24">
        <f>+SUM($E$22:I22)</f>
        <v>-5276.8556792568816</v>
      </c>
      <c r="J23" s="24">
        <f>+SUM($E$22:J22)</f>
        <v>-4609.9861782913495</v>
      </c>
      <c r="K23" s="24">
        <f>+SUM($E$22:K22)</f>
        <v>-4049.4635657479485</v>
      </c>
      <c r="L23" s="24">
        <f>+SUM($E$22:L22)</f>
        <v>-3534.7659731625499</v>
      </c>
      <c r="M23" s="24">
        <f>+SUM($E$22:M22)</f>
        <v>-3060.7944748694608</v>
      </c>
      <c r="N23" s="24">
        <f>+SUM($E$22:N22)</f>
        <v>-2624.3980255641741</v>
      </c>
      <c r="O23" s="24">
        <f>+SUM($E$22:O22)</f>
        <v>-2222.6619179786021</v>
      </c>
      <c r="P23" s="24">
        <f>+SUM($E$22:P22)</f>
        <v>-1852.8908540257335</v>
      </c>
      <c r="Q23" s="24">
        <f>+SUM($E$22:Q22)</f>
        <v>-1512.5931407110727</v>
      </c>
      <c r="R23" s="24">
        <f>+SUM($E$22:R22)</f>
        <v>-1195.3527120234521</v>
      </c>
      <c r="S23" s="24">
        <f>+SUM($E$22:S22)</f>
        <v>-899.78971219030814</v>
      </c>
      <c r="T23" s="24">
        <f>+SUM($E$22:T22)</f>
        <v>-624.58461223551785</v>
      </c>
      <c r="U23" s="24">
        <f>+SUM($E$22:U22)</f>
        <v>-368.478645237671</v>
      </c>
      <c r="V23" s="24">
        <f>+SUM($E$22:V22)</f>
        <v>-130.27366388190839</v>
      </c>
      <c r="W23" s="24">
        <f>+SUM($E$22:W22)</f>
        <v>91.168478254315488</v>
      </c>
      <c r="X23" s="24">
        <f>+SUM($E$22:X22)</f>
        <v>296.92693391045589</v>
      </c>
      <c r="Y23" s="24">
        <f>+SUM($E$22:Y22)</f>
        <v>488.0231820982948</v>
      </c>
      <c r="Z23" s="24">
        <f>+SUM($E$22:Z22)</f>
        <v>665.42259561656351</v>
      </c>
      <c r="AA23" s="24">
        <f>+SUM($E$22:AA22)</f>
        <v>830.03620020528433</v>
      </c>
      <c r="AB23" s="24">
        <f>+SUM($E$22:AB22)</f>
        <v>969.3770376851669</v>
      </c>
      <c r="AC23" s="24">
        <f>+SUM($E$22:AC22)</f>
        <v>1086.6797136083246</v>
      </c>
      <c r="AD23" s="24">
        <f>+SUM($E$22:AD22)</f>
        <v>1184.7995892703614</v>
      </c>
      <c r="AE23" s="24">
        <f>+SUM($E$22:AE22)</f>
        <v>1266.2550029342649</v>
      </c>
      <c r="AF23" s="24">
        <f>+SUM($E$22:AF22)</f>
        <v>1333.2649487181911</v>
      </c>
      <c r="AG23" s="24">
        <f>+SUM($E$22:AG22)</f>
        <v>1387.7826900906989</v>
      </c>
      <c r="AH23" s="24">
        <f>+SUM($E$22:AH22)</f>
        <v>1431.5257357399473</v>
      </c>
      <c r="AI23" s="24">
        <f>+SUM($E$22:AI22)</f>
        <v>1466.00256140593</v>
      </c>
      <c r="AJ23" s="24">
        <f>+SUM($E$22:AJ22)</f>
        <v>1492.5364215843708</v>
      </c>
      <c r="AK23" s="24">
        <f>+SUM($E$22:AK22)</f>
        <v>1512.2865593749386</v>
      </c>
      <c r="AL23" s="24">
        <f>+SUM($E$22:AL22)</f>
        <v>1528.6242093894214</v>
      </c>
      <c r="AM23" s="24">
        <f>+SUM($E$22:AM22)</f>
        <v>1542.0065996714827</v>
      </c>
      <c r="AN23" s="24">
        <f>+SUM($E$22:AN22)</f>
        <v>1552.8360282715259</v>
      </c>
      <c r="AO23" s="24">
        <f>+SUM($E$22:AO22)</f>
        <v>1561.466071774033</v>
      </c>
      <c r="AP23" s="24">
        <f>+SUM($E$22:AP22)</f>
        <v>1568.2071189686383</v>
      </c>
      <c r="AQ23" s="24">
        <f>+SUM($E$22:AQ22)</f>
        <v>1573.3313010559314</v>
      </c>
      <c r="AR23" s="24">
        <f>+SUM($E$22:AR22)</f>
        <v>1577.0768823761293</v>
      </c>
      <c r="AS23" s="24">
        <f>+SUM($E$22:AS22)</f>
        <v>1579.6521690018667</v>
      </c>
      <c r="AT23" s="24">
        <f>+SUM($E$22:AT22)</f>
        <v>1581.2389865691596</v>
      </c>
    </row>
  </sheetData>
  <pageMargins left="0.7" right="0.7" top="0.75" bottom="0.75" header="0.3" footer="0.3"/>
  <pageSetup scale="3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25</vt:i4>
      </vt:variant>
    </vt:vector>
  </HeadingPairs>
  <TitlesOfParts>
    <vt:vector size="62" baseType="lpstr">
      <vt:lpstr>Résumé</vt:lpstr>
      <vt:lpstr>Analyse de l'échéancier</vt:lpstr>
      <vt:lpstr>Analyse de l'actualité</vt:lpstr>
      <vt:lpstr>VAN du pipeline actuel</vt:lpstr>
      <vt:lpstr>Agrandissement,2020 -10_ex-post</vt:lpstr>
      <vt:lpstr>Agrandissement,2020_ex-post</vt:lpstr>
      <vt:lpstr>Agrandissement,2020 +10_ex-post</vt:lpstr>
      <vt:lpstr>Agrandissement,2021 -10_ex-post</vt:lpstr>
      <vt:lpstr>Agrandissement,2021_ex-post</vt:lpstr>
      <vt:lpstr>Agrandissement,2021 +10_ex-post</vt:lpstr>
      <vt:lpstr>Agrandissement,2022 -10_ex-post</vt:lpstr>
      <vt:lpstr>Agrandissement,2022_ex-post</vt:lpstr>
      <vt:lpstr>Agrandissement,2022 +10_ex-post</vt:lpstr>
      <vt:lpstr>Agrandissement,2023 -10_ex-post</vt:lpstr>
      <vt:lpstr>Agrandissement,2023_ex-post</vt:lpstr>
      <vt:lpstr>Agrandissement,2023 +10_ex-post</vt:lpstr>
      <vt:lpstr>Agrandissement,2020 -10_ex-ante</vt:lpstr>
      <vt:lpstr>Agrandissement,2020_ex-ante</vt:lpstr>
      <vt:lpstr>Agrandissement,2020 +10_ex-ante</vt:lpstr>
      <vt:lpstr>Agrandissement,2021 -10_ex-ante</vt:lpstr>
      <vt:lpstr>Agrandissement,2021_ex-ante</vt:lpstr>
      <vt:lpstr>Agrandissement,2021 +10_ex-ante</vt:lpstr>
      <vt:lpstr>Agrandissement,2022 -10_ex-ante</vt:lpstr>
      <vt:lpstr>Agrandissement,2022_ex-ante</vt:lpstr>
      <vt:lpstr>Agrandissement,2022 +10_ex-ante</vt:lpstr>
      <vt:lpstr>Agrandissement,2023 -10_ex-ante</vt:lpstr>
      <vt:lpstr>Agrandissement,2023_ex-ante</vt:lpstr>
      <vt:lpstr>Agrandissement,2023 +10_ex-ante</vt:lpstr>
      <vt:lpstr>Entreprises comparables</vt:lpstr>
      <vt:lpstr>Comparables - mise à jour</vt:lpstr>
      <vt:lpstr> Retombées économiques</vt:lpstr>
      <vt:lpstr>Écart de prix WTI-WCS</vt:lpstr>
      <vt:lpstr>Transactions précédentes</vt:lpstr>
      <vt:lpstr>Fiches diverses&gt;</vt:lpstr>
      <vt:lpstr>Débit</vt:lpstr>
      <vt:lpstr>Droits</vt:lpstr>
      <vt:lpstr>Écarts de prix</vt:lpstr>
      <vt:lpstr>'Agrandissement,2020 +10_ex-ante'!Print_Area</vt:lpstr>
      <vt:lpstr>'Agrandissement,2020 +10_ex-post'!Print_Area</vt:lpstr>
      <vt:lpstr>'Agrandissement,2020 -10_ex-ante'!Print_Area</vt:lpstr>
      <vt:lpstr>'Agrandissement,2020 -10_ex-post'!Print_Area</vt:lpstr>
      <vt:lpstr>'Agrandissement,2020_ex-ante'!Print_Area</vt:lpstr>
      <vt:lpstr>'Agrandissement,2020_ex-post'!Print_Area</vt:lpstr>
      <vt:lpstr>'Agrandissement,2021 +10_ex-ante'!Print_Area</vt:lpstr>
      <vt:lpstr>'Agrandissement,2021 +10_ex-post'!Print_Area</vt:lpstr>
      <vt:lpstr>'Agrandissement,2021 -10_ex-ante'!Print_Area</vt:lpstr>
      <vt:lpstr>'Agrandissement,2021 -10_ex-post'!Print_Area</vt:lpstr>
      <vt:lpstr>'Agrandissement,2021_ex-ante'!Print_Area</vt:lpstr>
      <vt:lpstr>'Agrandissement,2021_ex-post'!Print_Area</vt:lpstr>
      <vt:lpstr>'Agrandissement,2022 +10_ex-ante'!Print_Area</vt:lpstr>
      <vt:lpstr>'Agrandissement,2022 +10_ex-post'!Print_Area</vt:lpstr>
      <vt:lpstr>'Agrandissement,2022 -10_ex-ante'!Print_Area</vt:lpstr>
      <vt:lpstr>'Agrandissement,2022 -10_ex-post'!Print_Area</vt:lpstr>
      <vt:lpstr>'Agrandissement,2022_ex-ante'!Print_Area</vt:lpstr>
      <vt:lpstr>'Agrandissement,2022_ex-post'!Print_Area</vt:lpstr>
      <vt:lpstr>'Agrandissement,2023 +10_ex-ante'!Print_Area</vt:lpstr>
      <vt:lpstr>'Agrandissement,2023 +10_ex-post'!Print_Area</vt:lpstr>
      <vt:lpstr>'Agrandissement,2023 -10_ex-ante'!Print_Area</vt:lpstr>
      <vt:lpstr>'Agrandissement,2023 -10_ex-post'!Print_Area</vt:lpstr>
      <vt:lpstr>'Agrandissement,2023_ex-ante'!Print_Area</vt:lpstr>
      <vt:lpstr>'Agrandissement,2023_ex-post'!Print_Area</vt:lpstr>
      <vt:lpstr>'VAN du pipeline actuel'!Print_Area</vt:lpstr>
    </vt:vector>
  </TitlesOfParts>
  <Company>BDPB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Varun.Srivatsan@parl.gc.ca</dc:creator>
  <cp:lastModifiedBy>Scrim, Jocelyne</cp:lastModifiedBy>
  <dcterms:created xsi:type="dcterms:W3CDTF">2018-09-25T00:41:28Z</dcterms:created>
  <dcterms:modified xsi:type="dcterms:W3CDTF">2019-02-12T21:11:33Z</dcterms:modified>
</cp:coreProperties>
</file>