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c-cdc.ca\AdminPrivate\FS06U\ScrimJ\Desktop\"/>
    </mc:Choice>
  </mc:AlternateContent>
  <xr:revisionPtr revIDLastSave="0" documentId="8_{6BCBFD04-74ED-4957-BF55-69BB36372AD0}" xr6:coauthVersionLast="31" xr6:coauthVersionMax="31" xr10:uidLastSave="{00000000-0000-0000-0000-000000000000}"/>
  <bookViews>
    <workbookView xWindow="0" yWindow="0" windowWidth="28800" windowHeight="11610" xr2:uid="{7FA40205-015E-48F0-BADC-CCE3DADBCFDC}"/>
  </bookViews>
  <sheets>
    <sheet name="Program Summary " sheetId="1" r:id="rId1"/>
    <sheet name="Additional reporting from CMHC" sheetId="2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2" l="1"/>
  <c r="C10" i="2"/>
  <c r="B10" i="2"/>
  <c r="D9" i="2"/>
  <c r="C9" i="2"/>
  <c r="B9" i="2"/>
  <c r="C8" i="2"/>
  <c r="B8" i="2"/>
  <c r="C7" i="2"/>
  <c r="B7" i="2"/>
  <c r="C6" i="2"/>
  <c r="B6" i="2"/>
  <c r="C5" i="2"/>
  <c r="B5" i="2"/>
  <c r="C4" i="2"/>
  <c r="B4" i="2"/>
  <c r="B12" i="2" s="1"/>
  <c r="C12" i="2" l="1"/>
  <c r="D3" i="1"/>
  <c r="C3" i="1"/>
  <c r="B3" i="1"/>
  <c r="D25" i="1"/>
  <c r="C25" i="1"/>
  <c r="B25" i="1"/>
  <c r="D24" i="1"/>
  <c r="C24" i="1"/>
  <c r="B24" i="1"/>
  <c r="D35" i="1"/>
  <c r="C35" i="1"/>
  <c r="B35" i="1"/>
  <c r="D36" i="1"/>
  <c r="C36" i="1"/>
  <c r="B36" i="1"/>
  <c r="D26" i="1"/>
  <c r="C26" i="1"/>
  <c r="B26" i="1"/>
  <c r="D12" i="1"/>
  <c r="C12" i="1"/>
  <c r="B12" i="1"/>
  <c r="E14" i="1" l="1"/>
  <c r="D14" i="1"/>
  <c r="D7" i="1"/>
  <c r="C14" i="1"/>
  <c r="C7" i="1"/>
  <c r="B7" i="1"/>
  <c r="F34" i="1"/>
  <c r="E34" i="1"/>
  <c r="D34" i="1"/>
  <c r="C34" i="1"/>
  <c r="B34" i="1"/>
  <c r="C33" i="1"/>
  <c r="B33" i="1"/>
  <c r="F32" i="1"/>
  <c r="E32" i="1"/>
  <c r="D32" i="1"/>
  <c r="C32" i="1"/>
  <c r="B32" i="1"/>
  <c r="D31" i="1"/>
  <c r="C31" i="1"/>
  <c r="B31" i="1"/>
  <c r="D30" i="1"/>
  <c r="C30" i="1"/>
  <c r="B30" i="1"/>
  <c r="C28" i="1"/>
  <c r="B28" i="1"/>
  <c r="C27" i="1"/>
  <c r="C23" i="1"/>
  <c r="B23" i="1"/>
  <c r="C21" i="1"/>
  <c r="B21" i="1"/>
  <c r="C20" i="1"/>
  <c r="B20" i="1"/>
  <c r="C19" i="1"/>
  <c r="B19" i="1"/>
  <c r="C17" i="1"/>
  <c r="C18" i="1" l="1"/>
  <c r="B18" i="1"/>
  <c r="G17" i="1"/>
  <c r="F17" i="1"/>
  <c r="E17" i="1"/>
  <c r="D17" i="1"/>
  <c r="B17" i="1"/>
  <c r="G16" i="1"/>
  <c r="F16" i="1"/>
  <c r="E16" i="1"/>
  <c r="D16" i="1"/>
  <c r="C16" i="1"/>
  <c r="B16" i="1"/>
  <c r="B14" i="1"/>
  <c r="C13" i="1"/>
  <c r="C11" i="1"/>
  <c r="B11" i="1"/>
  <c r="F10" i="1"/>
  <c r="E10" i="1"/>
  <c r="D10" i="1"/>
  <c r="C10" i="1"/>
  <c r="B10" i="1"/>
  <c r="C9" i="1"/>
  <c r="F8" i="1"/>
  <c r="E8" i="1"/>
  <c r="D8" i="1"/>
  <c r="C8" i="1"/>
  <c r="B8" i="1"/>
  <c r="F7" i="1"/>
  <c r="E7" i="1"/>
  <c r="D6" i="1"/>
  <c r="C6" i="1"/>
  <c r="B6" i="1"/>
  <c r="C5" i="1"/>
  <c r="B5" i="1"/>
  <c r="C4" i="1"/>
  <c r="B4" i="1"/>
</calcChain>
</file>

<file path=xl/sharedStrings.xml><?xml version="1.0" encoding="utf-8"?>
<sst xmlns="http://schemas.openxmlformats.org/spreadsheetml/2006/main" count="66" uniqueCount="58">
  <si>
    <t>Total</t>
  </si>
  <si>
    <t>Aboriginal Head Start on Reserve</t>
  </si>
  <si>
    <t>Canada 150 Community Infrastructure Program</t>
  </si>
  <si>
    <t>Canada Cultural Spaces Fund</t>
  </si>
  <si>
    <t xml:space="preserve">Clean Water and Wastewater </t>
  </si>
  <si>
    <t>Clean Water and Wastewater  (Strengthening On Reserve Water and Wastewater Infrastructure)</t>
  </si>
  <si>
    <t>Green Municipal Fund</t>
  </si>
  <si>
    <t>Culture and Recreational Centers</t>
  </si>
  <si>
    <t>Doubling Investment in Affordable Housing</t>
  </si>
  <si>
    <t>Early Learning and Child Care</t>
  </si>
  <si>
    <t>Electric Vehicle and Alternative Fuel Infrastructure Deployment and Technology Demonstration</t>
  </si>
  <si>
    <t>Enabling Accessibility Fund</t>
  </si>
  <si>
    <t>Federation of Canadian Municipalities - Municipal Asset Management Program</t>
  </si>
  <si>
    <t>Federation of Canadian Municipalities - Municipalities for Climate Innovation Program</t>
  </si>
  <si>
    <t>First Nations and Inuit Child Care Intiative</t>
  </si>
  <si>
    <t>First Nations Waste Management Initiative</t>
  </si>
  <si>
    <t>Health Facilities</t>
  </si>
  <si>
    <t>Homelessness Partnering Strategy - Regional Stream</t>
  </si>
  <si>
    <t>Increasing Affordable Housing for Seniors</t>
  </si>
  <si>
    <t>Indigenous Early Learning Child Care</t>
  </si>
  <si>
    <t>Inuit Housing</t>
  </si>
  <si>
    <t>National Historical Sites</t>
  </si>
  <si>
    <t>Public Transit Infrastructure Fund</t>
  </si>
  <si>
    <t>Regional Electricity Cooperation and Strategic Infrastructure</t>
  </si>
  <si>
    <t>Connect to Innovate</t>
  </si>
  <si>
    <t>Supporting Energy and Water Efficiency Retrofits and Renovations to Existing Social Housing</t>
  </si>
  <si>
    <t>Supporting Shelters for Victims of Family Violence</t>
  </si>
  <si>
    <t>Shelter Enhancement on Reserve</t>
  </si>
  <si>
    <t>Aboriginal Capacity Development</t>
  </si>
  <si>
    <t>Housing for First Nations on Reserve - Renovation &amp; Retrofit</t>
  </si>
  <si>
    <t>Housing in the North</t>
  </si>
  <si>
    <t>Post-Secondary Strategic Investment Fund</t>
  </si>
  <si>
    <t xml:space="preserve">Climate Resilient Buildings and Core Public Infrastructure Project (CRBCPI) 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</si>
  <si>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</si>
  <si>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</si>
  <si>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</si>
  <si>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</si>
  <si>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</si>
  <si>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</si>
  <si>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</si>
  <si>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</si>
  <si>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Aboriginal Capacity Development*</t>
  </si>
  <si>
    <t>Doubling Investment in Affordable Housing*</t>
  </si>
  <si>
    <t>Northern Housing*</t>
  </si>
  <si>
    <t>Housing for First Nations on Reserve *</t>
  </si>
  <si>
    <t>Increasing Affordable Housing for Seniors*</t>
  </si>
  <si>
    <t>Supporting Shelters for Victims of Family Violence*</t>
  </si>
  <si>
    <t>Shelter Enhancement on Reserve*</t>
  </si>
  <si>
    <t>Supporting Energy and Water Efficiency Retrofits and Renovations to Existing Social Housing*</t>
  </si>
  <si>
    <t xml:space="preserve">Source: Finance Canada and Infrastructure Canada. </t>
  </si>
  <si>
    <t>Renovations and Retrofits of Housing on Reserve*</t>
  </si>
  <si>
    <t>Lions Gate Secondary Wastewater Treatment Plant**</t>
  </si>
  <si>
    <t>Programs</t>
  </si>
  <si>
    <t>Notes: *CMHC requested that the PBO publish spending figures on based on cash and accural accounting; the latter are presented on a separate tab. **Infrastructure Canada has not consented to the public release of this data</t>
  </si>
  <si>
    <t>$ in 000's (cash based)</t>
  </si>
  <si>
    <t>$ in 000's (accrual based)</t>
  </si>
  <si>
    <t xml:space="preserve">CMHC Delivered Programs </t>
  </si>
  <si>
    <t>Homelessness Partnering Strategy - National Stream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</si>
</sst>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;\-&quot;$&quot;#,##0"/>
    <numFmt numFmtId="44" formatCode="_-&quot;$&quot;* #,##0.00_-;\-&quot;$&quot;* #,##0.00_-;_-&quot;$&quot;* &quot;-&quot;??_-;_-@_-"/>
    <numFmt numFmtId="164" formatCode="&quot;$&quot;#,##0"/>
    <numFmt numFmtId="165" formatCode="[$$-409]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5" fontId="1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3" fontId="0" fillId="2" borderId="0" xfId="0" applyNumberForma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5" fontId="0" fillId="2" borderId="0" xfId="1" applyNumberFormat="1" applyFont="1" applyFill="1" applyAlignment="1">
      <alignment horizontal="right" vertical="center"/>
    </xf>
    <xf numFmtId="5" fontId="0" fillId="2" borderId="4" xfId="1" applyNumberFormat="1" applyFont="1" applyFill="1" applyBorder="1" applyAlignment="1">
      <alignment horizontal="right" vertical="center"/>
    </xf>
    <xf numFmtId="5" fontId="4" fillId="2" borderId="0" xfId="1" applyNumberFormat="1" applyFont="1" applyFill="1" applyAlignment="1">
      <alignment horizontal="right" vertical="center"/>
    </xf>
    <xf numFmtId="5" fontId="4" fillId="2" borderId="4" xfId="1" applyNumberFormat="1" applyFont="1" applyFill="1" applyBorder="1" applyAlignment="1">
      <alignment horizontal="right" vertical="center"/>
    </xf>
    <xf numFmtId="3" fontId="0" fillId="2" borderId="6" xfId="0" applyNumberFormat="1" applyFill="1" applyBorder="1" applyAlignment="1">
      <alignment horizontal="left" vertical="center"/>
    </xf>
    <xf numFmtId="164" fontId="0" fillId="2" borderId="0" xfId="1" applyNumberFormat="1" applyFont="1" applyFill="1" applyBorder="1" applyAlignment="1">
      <alignment horizontal="right" vertical="center"/>
    </xf>
    <xf numFmtId="164" fontId="0" fillId="2" borderId="0" xfId="1" applyNumberFormat="1" applyFont="1" applyFill="1" applyAlignment="1">
      <alignment horizontal="right" vertical="center"/>
    </xf>
    <xf numFmtId="0" fontId="0" fillId="2" borderId="0" xfId="0" applyFill="1" applyBorder="1" applyAlignment="1">
      <alignment horizontal="right" vertical="center"/>
    </xf>
    <xf numFmtId="164" fontId="2" fillId="2" borderId="2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3" fontId="2" fillId="0" borderId="7" xfId="0" applyNumberFormat="1" applyFont="1" applyFill="1" applyBorder="1" applyAlignment="1">
      <alignment horizontal="center" vertical="center"/>
    </xf>
    <xf numFmtId="5" fontId="0" fillId="2" borderId="0" xfId="1" applyNumberFormat="1" applyFont="1" applyFill="1" applyBorder="1" applyAlignment="1">
      <alignment horizontal="right" vertical="center"/>
    </xf>
  </cellXfs>
  <cellStyles count="3">
    <cellStyle name="Currency" xfId="1" builtinId="4"/>
    <cellStyle name="Normal" xfId="0" builtinId="0"/>
    <cellStyle name="Normal 22" xfId="2" xr:uid="{CEC6517B-BAD1-488C-A5A2-7A1F4A4900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BADA8-0822-4B00-BCF4-E7896123FDDA}">
  <dimension ref="A1:O55"/>
  <sheetViews>
    <sheetView tabSelected="1" workbookViewId="0">
      <selection activeCell="D27" sqref="D27"/>
    </sheetView>
  </sheetViews>
  <sheetFormatPr defaultColWidth="9.140625" defaultRowHeight="15" x14ac:dyDescent="0.25"/>
  <cols>
    <col min="1" max="1" width="126.28515625" style="9" customWidth="1"/>
    <col min="2" max="4" width="16.28515625" style="2" bestFit="1" customWidth="1"/>
    <col min="5" max="6" width="18" style="2" bestFit="1" customWidth="1"/>
    <col min="7" max="7" width="15.28515625" style="2" bestFit="1" customWidth="1"/>
    <col min="8" max="8" width="11.5703125" style="2" bestFit="1" customWidth="1"/>
    <col min="9" max="9" width="15.28515625" style="2" bestFit="1" customWidth="1"/>
    <col min="10" max="10" width="12.140625" style="2" bestFit="1" customWidth="1"/>
    <col min="11" max="16384" width="9.140625" style="2"/>
  </cols>
  <sheetData>
    <row r="1" spans="1:9" s="1" customFormat="1" x14ac:dyDescent="0.25">
      <c r="A1" s="7" t="s">
        <v>52</v>
      </c>
      <c r="B1" s="4" t="s">
        <v>33</v>
      </c>
      <c r="C1" s="4" t="s">
        <v>34</v>
      </c>
      <c r="D1" s="4" t="s">
        <v>35</v>
      </c>
      <c r="E1" s="4" t="s">
        <v>36</v>
      </c>
      <c r="F1" s="4" t="s">
        <v>37</v>
      </c>
      <c r="G1" s="4" t="s">
        <v>38</v>
      </c>
      <c r="H1" s="4" t="s">
        <v>39</v>
      </c>
      <c r="I1" s="5" t="s">
        <v>40</v>
      </c>
    </row>
    <row r="2" spans="1:9" s="1" customFormat="1" x14ac:dyDescent="0.25">
      <c r="A2" s="32" t="s">
        <v>54</v>
      </c>
      <c r="B2" s="11"/>
      <c r="C2" s="11"/>
      <c r="D2" s="11"/>
      <c r="E2" s="11"/>
      <c r="F2" s="11"/>
      <c r="G2" s="11"/>
      <c r="H2" s="11"/>
      <c r="I2" s="18"/>
    </row>
    <row r="3" spans="1:9" x14ac:dyDescent="0.25">
      <c r="A3" s="20" t="s">
        <v>41</v>
      </c>
      <c r="B3" s="22">
        <f>2275025/1000</f>
        <v>2275.0250000000001</v>
      </c>
      <c r="C3" s="22">
        <f>6789570/1000</f>
        <v>6789.57</v>
      </c>
      <c r="D3" s="22">
        <f>610344/1000</f>
        <v>610.34400000000005</v>
      </c>
      <c r="E3" s="22"/>
      <c r="F3" s="22"/>
      <c r="G3" s="22"/>
      <c r="H3" s="22"/>
      <c r="I3" s="23"/>
    </row>
    <row r="4" spans="1:9" x14ac:dyDescent="0.25">
      <c r="A4" s="20" t="s">
        <v>1</v>
      </c>
      <c r="B4" s="22">
        <f>12683644.35/1000</f>
        <v>12683.64435</v>
      </c>
      <c r="C4" s="22">
        <f>31399444/1000</f>
        <v>31399.444</v>
      </c>
      <c r="D4" s="22"/>
      <c r="E4" s="22"/>
      <c r="F4" s="22"/>
      <c r="G4" s="22"/>
      <c r="H4" s="22"/>
      <c r="I4" s="23"/>
    </row>
    <row r="5" spans="1:9" x14ac:dyDescent="0.25">
      <c r="A5" s="20" t="s">
        <v>2</v>
      </c>
      <c r="B5" s="22">
        <f>29377904.5/1000</f>
        <v>29377.904500000001</v>
      </c>
      <c r="C5" s="22">
        <f>137517605.26/1000</f>
        <v>137517.60525999998</v>
      </c>
      <c r="D5" s="22"/>
      <c r="E5" s="22"/>
      <c r="F5" s="22"/>
      <c r="G5" s="22"/>
      <c r="H5" s="22"/>
      <c r="I5" s="23"/>
    </row>
    <row r="6" spans="1:9" x14ac:dyDescent="0.25">
      <c r="A6" s="20" t="s">
        <v>3</v>
      </c>
      <c r="B6" s="22">
        <f>59574263/1000</f>
        <v>59574.262999999999</v>
      </c>
      <c r="C6" s="22">
        <f>67324792/1000</f>
        <v>67324.792000000001</v>
      </c>
      <c r="D6" s="22">
        <f>37705101/1000</f>
        <v>37705.101000000002</v>
      </c>
      <c r="E6" s="22"/>
      <c r="F6" s="22"/>
      <c r="G6" s="22"/>
      <c r="H6" s="22"/>
      <c r="I6" s="23"/>
    </row>
    <row r="7" spans="1:9" x14ac:dyDescent="0.25">
      <c r="A7" s="20" t="s">
        <v>4</v>
      </c>
      <c r="B7" s="22">
        <f>7091038/1000</f>
        <v>7091.0379999999996</v>
      </c>
      <c r="C7" s="22">
        <f>308276697/1000</f>
        <v>308276.69699999999</v>
      </c>
      <c r="D7" s="22">
        <f>397360600/1000</f>
        <v>397360.6</v>
      </c>
      <c r="E7" s="22">
        <f>665256773/1000</f>
        <v>665256.77300000004</v>
      </c>
      <c r="F7" s="22">
        <f>608817891/1000</f>
        <v>608817.89099999995</v>
      </c>
      <c r="G7" s="22"/>
      <c r="H7" s="22"/>
      <c r="I7" s="23"/>
    </row>
    <row r="8" spans="1:9" x14ac:dyDescent="0.25">
      <c r="A8" s="20" t="s">
        <v>5</v>
      </c>
      <c r="B8" s="22">
        <f>274550007/1000</f>
        <v>274550.00699999998</v>
      </c>
      <c r="C8" s="22">
        <f>489048264/1000</f>
        <v>489048.26400000002</v>
      </c>
      <c r="D8" s="22">
        <f>381100000/1000</f>
        <v>381100</v>
      </c>
      <c r="E8" s="22">
        <f>385500000/1000</f>
        <v>385500</v>
      </c>
      <c r="F8" s="22">
        <f>389800000/1000</f>
        <v>389800</v>
      </c>
      <c r="G8" s="22"/>
      <c r="H8" s="22"/>
      <c r="I8" s="23"/>
    </row>
    <row r="9" spans="1:9" x14ac:dyDescent="0.25">
      <c r="A9" s="20" t="s">
        <v>6</v>
      </c>
      <c r="B9" s="22"/>
      <c r="C9" s="22">
        <f>125000000/1000</f>
        <v>125000</v>
      </c>
      <c r="D9" s="22"/>
      <c r="E9" s="22"/>
      <c r="F9" s="22"/>
      <c r="G9" s="22"/>
      <c r="H9" s="22"/>
      <c r="I9" s="23"/>
    </row>
    <row r="10" spans="1:9" x14ac:dyDescent="0.25">
      <c r="A10" s="20" t="s">
        <v>32</v>
      </c>
      <c r="B10" s="22">
        <f>4000000/1000</f>
        <v>4000</v>
      </c>
      <c r="C10" s="22">
        <f>11500000/1000</f>
        <v>11500</v>
      </c>
      <c r="D10" s="22">
        <f>9000000/1000</f>
        <v>9000</v>
      </c>
      <c r="E10" s="22">
        <f>9000000/1000</f>
        <v>9000</v>
      </c>
      <c r="F10" s="22">
        <f>9000000/1000</f>
        <v>9000</v>
      </c>
      <c r="G10" s="22"/>
      <c r="H10" s="22"/>
      <c r="I10" s="23"/>
    </row>
    <row r="11" spans="1:9" x14ac:dyDescent="0.25">
      <c r="A11" s="20" t="s">
        <v>7</v>
      </c>
      <c r="B11" s="22">
        <f>47442911/1000</f>
        <v>47442.911</v>
      </c>
      <c r="C11" s="22">
        <f>27616996/1000</f>
        <v>27616.995999999999</v>
      </c>
      <c r="D11" s="22"/>
      <c r="E11" s="22"/>
      <c r="F11" s="22"/>
      <c r="G11" s="22"/>
      <c r="H11" s="22"/>
      <c r="I11" s="23"/>
    </row>
    <row r="12" spans="1:9" x14ac:dyDescent="0.25">
      <c r="A12" s="20" t="s">
        <v>42</v>
      </c>
      <c r="B12" s="22">
        <f>29541722/1000</f>
        <v>29541.722000000002</v>
      </c>
      <c r="C12" s="22">
        <f>313889544/1000</f>
        <v>313889.54399999999</v>
      </c>
      <c r="D12" s="22">
        <f>147614980/1000</f>
        <v>147614.98000000001</v>
      </c>
      <c r="E12" s="22"/>
      <c r="F12" s="22"/>
      <c r="G12" s="22"/>
      <c r="H12" s="22"/>
      <c r="I12" s="23"/>
    </row>
    <row r="13" spans="1:9" x14ac:dyDescent="0.25">
      <c r="A13" s="20" t="s">
        <v>9</v>
      </c>
      <c r="B13" s="22"/>
      <c r="C13" s="22">
        <f>399669691/1000</f>
        <v>399669.69099999999</v>
      </c>
      <c r="D13" s="22"/>
      <c r="E13" s="22"/>
      <c r="F13" s="22"/>
      <c r="G13" s="22"/>
      <c r="H13" s="22"/>
      <c r="I13" s="23"/>
    </row>
    <row r="14" spans="1:9" x14ac:dyDescent="0.25">
      <c r="A14" s="20" t="s">
        <v>10</v>
      </c>
      <c r="B14" s="22">
        <f>2839000/1000</f>
        <v>2839</v>
      </c>
      <c r="C14" s="22">
        <f>34139081/1000</f>
        <v>34139.080999999998</v>
      </c>
      <c r="D14" s="22">
        <f>18099974/10000</f>
        <v>1809.9974</v>
      </c>
      <c r="E14" s="22">
        <f>4201316/1000</f>
        <v>4201.3159999999998</v>
      </c>
      <c r="F14" s="22"/>
      <c r="G14" s="22"/>
      <c r="H14" s="22"/>
      <c r="I14" s="23"/>
    </row>
    <row r="15" spans="1:9" x14ac:dyDescent="0.25">
      <c r="A15" s="20" t="s">
        <v>11</v>
      </c>
      <c r="B15" s="22">
        <v>1982</v>
      </c>
      <c r="C15" s="22">
        <v>2018</v>
      </c>
      <c r="D15" s="22"/>
      <c r="E15" s="22"/>
      <c r="F15" s="22"/>
      <c r="G15" s="22"/>
      <c r="H15" s="22"/>
      <c r="I15" s="23"/>
    </row>
    <row r="16" spans="1:9" x14ac:dyDescent="0.25">
      <c r="A16" s="20" t="s">
        <v>12</v>
      </c>
      <c r="B16" s="22">
        <f>762500/1000</f>
        <v>762.5</v>
      </c>
      <c r="C16" s="22">
        <f>4225484/1000</f>
        <v>4225.4840000000004</v>
      </c>
      <c r="D16" s="22">
        <f>19263228/1000</f>
        <v>19263.227999999999</v>
      </c>
      <c r="E16" s="22">
        <f>18517765/1000</f>
        <v>18517.764999999999</v>
      </c>
      <c r="F16" s="22">
        <f>6425140/1000</f>
        <v>6425.14</v>
      </c>
      <c r="G16" s="22">
        <f>805883/1000</f>
        <v>805.88300000000004</v>
      </c>
      <c r="H16" s="22"/>
      <c r="I16" s="23"/>
    </row>
    <row r="17" spans="1:15" x14ac:dyDescent="0.25">
      <c r="A17" s="20" t="s">
        <v>13</v>
      </c>
      <c r="B17" s="22">
        <f>753800/1000</f>
        <v>753.8</v>
      </c>
      <c r="C17" s="22">
        <f>6687236/1000</f>
        <v>6687.2359999999999</v>
      </c>
      <c r="D17" s="22">
        <f>22152324/1000</f>
        <v>22152.324000000001</v>
      </c>
      <c r="E17" s="22">
        <f>27367066/1000</f>
        <v>27367.065999999999</v>
      </c>
      <c r="F17" s="22">
        <f>17305262/1000</f>
        <v>17305.261999999999</v>
      </c>
      <c r="G17" s="22">
        <f>734312/1000</f>
        <v>734.31200000000001</v>
      </c>
      <c r="H17" s="22"/>
      <c r="I17" s="23"/>
    </row>
    <row r="18" spans="1:15" x14ac:dyDescent="0.25">
      <c r="A18" s="20" t="s">
        <v>14</v>
      </c>
      <c r="B18" s="22">
        <f>15830594/1000</f>
        <v>15830.593999999999</v>
      </c>
      <c r="C18" s="22">
        <f>44069127/1000</f>
        <v>44069.127</v>
      </c>
      <c r="D18" s="22"/>
      <c r="E18" s="22"/>
      <c r="F18" s="22"/>
      <c r="G18" s="22"/>
      <c r="H18" s="22"/>
      <c r="I18" s="23"/>
    </row>
    <row r="19" spans="1:15" x14ac:dyDescent="0.25">
      <c r="A19" s="20" t="s">
        <v>15</v>
      </c>
      <c r="B19" s="22">
        <f>14242814/1000</f>
        <v>14242.814</v>
      </c>
      <c r="C19" s="22">
        <f>80694772/1000</f>
        <v>80694.771999999997</v>
      </c>
      <c r="D19" s="22"/>
      <c r="E19" s="22"/>
      <c r="F19" s="22"/>
      <c r="G19" s="22"/>
      <c r="H19" s="22"/>
      <c r="I19" s="23"/>
    </row>
    <row r="20" spans="1:15" x14ac:dyDescent="0.25">
      <c r="A20" s="20" t="s">
        <v>16</v>
      </c>
      <c r="B20" s="22">
        <f>79296182/1000</f>
        <v>79296.182000000001</v>
      </c>
      <c r="C20" s="22">
        <f>83735245/1000</f>
        <v>83735.244999999995</v>
      </c>
      <c r="D20" s="22"/>
      <c r="E20" s="22"/>
      <c r="F20" s="22"/>
      <c r="G20" s="22"/>
      <c r="H20" s="22"/>
      <c r="I20" s="23"/>
    </row>
    <row r="21" spans="1:15" x14ac:dyDescent="0.25">
      <c r="A21" s="20" t="s">
        <v>17</v>
      </c>
      <c r="B21" s="22">
        <f>46240240/1000</f>
        <v>46240.24</v>
      </c>
      <c r="C21" s="22">
        <f>46396319/1000</f>
        <v>46396.319000000003</v>
      </c>
      <c r="D21" s="22"/>
      <c r="E21" s="22"/>
      <c r="F21" s="22"/>
      <c r="G21" s="22"/>
      <c r="H21" s="22"/>
      <c r="I21" s="23"/>
    </row>
    <row r="22" spans="1:15" x14ac:dyDescent="0.25">
      <c r="A22" s="20" t="s">
        <v>57</v>
      </c>
      <c r="C22" s="22">
        <v>6061</v>
      </c>
      <c r="D22" s="22">
        <v>5182</v>
      </c>
      <c r="E22" s="22"/>
      <c r="F22" s="22"/>
      <c r="G22" s="22"/>
      <c r="H22" s="22"/>
      <c r="I22" s="23"/>
    </row>
    <row r="23" spans="1:15" x14ac:dyDescent="0.25">
      <c r="A23" s="20" t="s">
        <v>44</v>
      </c>
      <c r="B23" s="22">
        <f>273109186/1000</f>
        <v>273109.18599999999</v>
      </c>
      <c r="C23" s="22">
        <f>166412718/1000</f>
        <v>166412.71799999999</v>
      </c>
      <c r="D23" s="22"/>
      <c r="E23" s="22"/>
      <c r="F23" s="22"/>
      <c r="G23" s="22"/>
      <c r="H23" s="22"/>
      <c r="I23" s="23"/>
    </row>
    <row r="24" spans="1:15" x14ac:dyDescent="0.25">
      <c r="A24" s="20" t="s">
        <v>50</v>
      </c>
      <c r="B24" s="22">
        <f>34342552/1000</f>
        <v>34342.552000000003</v>
      </c>
      <c r="C24" s="22">
        <f>56680490/1000</f>
        <v>56680.49</v>
      </c>
      <c r="D24" s="22">
        <f>7656888/1000</f>
        <v>7656.8879999999999</v>
      </c>
      <c r="E24" s="22"/>
      <c r="F24" s="22"/>
      <c r="G24" s="22"/>
      <c r="H24" s="22"/>
      <c r="I24" s="23"/>
    </row>
    <row r="25" spans="1:15" x14ac:dyDescent="0.25">
      <c r="A25" s="20" t="s">
        <v>43</v>
      </c>
      <c r="B25" s="22">
        <f>31500000/1000</f>
        <v>31500</v>
      </c>
      <c r="C25" s="22">
        <f>8500000/1000</f>
        <v>8500</v>
      </c>
      <c r="D25" s="22">
        <f>52700000/1000</f>
        <v>52700</v>
      </c>
      <c r="E25" s="22"/>
      <c r="F25" s="22"/>
      <c r="G25" s="22"/>
      <c r="H25" s="22"/>
      <c r="I25" s="23"/>
    </row>
    <row r="26" spans="1:15" x14ac:dyDescent="0.25">
      <c r="A26" s="20" t="s">
        <v>45</v>
      </c>
      <c r="B26" s="22">
        <f>15519289/1000</f>
        <v>15519.289000000001</v>
      </c>
      <c r="C26" s="22">
        <f>103625304/1000</f>
        <v>103625.304</v>
      </c>
      <c r="D26" s="22">
        <f>71742469/1000</f>
        <v>71742.468999999997</v>
      </c>
      <c r="E26" s="22"/>
      <c r="F26" s="22"/>
      <c r="G26" s="22"/>
      <c r="H26" s="22"/>
      <c r="I26" s="23"/>
    </row>
    <row r="27" spans="1:15" x14ac:dyDescent="0.25">
      <c r="A27" s="20" t="s">
        <v>19</v>
      </c>
      <c r="B27" s="22"/>
      <c r="C27" s="22">
        <f>13483802/1000</f>
        <v>13483.802</v>
      </c>
      <c r="D27" s="22"/>
      <c r="E27" s="22"/>
      <c r="F27" s="22"/>
      <c r="G27" s="22"/>
      <c r="H27" s="22"/>
      <c r="I27" s="23"/>
    </row>
    <row r="28" spans="1:15" x14ac:dyDescent="0.25">
      <c r="A28" s="20" t="s">
        <v>20</v>
      </c>
      <c r="B28" s="22">
        <f>25500000/1000</f>
        <v>25500</v>
      </c>
      <c r="C28" s="22">
        <f>54500000/1000</f>
        <v>54500</v>
      </c>
      <c r="D28" s="22"/>
      <c r="E28" s="22"/>
      <c r="F28" s="22"/>
      <c r="G28" s="22"/>
      <c r="H28" s="22"/>
      <c r="I28" s="23"/>
    </row>
    <row r="29" spans="1:15" x14ac:dyDescent="0.25">
      <c r="A29" s="21" t="s">
        <v>51</v>
      </c>
      <c r="B29" s="24"/>
      <c r="C29" s="24"/>
      <c r="D29" s="24"/>
      <c r="E29" s="24"/>
      <c r="F29" s="24"/>
      <c r="G29" s="24"/>
      <c r="H29" s="24"/>
      <c r="I29" s="25"/>
    </row>
    <row r="30" spans="1:15" x14ac:dyDescent="0.25">
      <c r="A30" s="20" t="s">
        <v>21</v>
      </c>
      <c r="B30" s="22">
        <f>5569337.12/1000</f>
        <v>5569.3371200000001</v>
      </c>
      <c r="C30" s="22">
        <f>11890621.49/1000</f>
        <v>11890.62149</v>
      </c>
      <c r="D30" s="22">
        <f>2346391.39/1000</f>
        <v>2346.3913900000002</v>
      </c>
      <c r="E30" s="22"/>
      <c r="F30" s="22"/>
      <c r="G30" s="22"/>
      <c r="H30" s="22"/>
      <c r="I30" s="23"/>
    </row>
    <row r="31" spans="1:15" x14ac:dyDescent="0.25">
      <c r="A31" s="20" t="s">
        <v>31</v>
      </c>
      <c r="B31" s="22">
        <f>740926767/1000</f>
        <v>740926.76699999999</v>
      </c>
      <c r="C31" s="22">
        <f>731759905/1000</f>
        <v>731759.90500000003</v>
      </c>
      <c r="D31" s="22">
        <f>510873962/1000</f>
        <v>510873.962</v>
      </c>
      <c r="E31" s="22"/>
      <c r="F31" s="22"/>
      <c r="G31" s="22"/>
      <c r="H31" s="22"/>
      <c r="I31" s="23"/>
      <c r="J31" s="3"/>
      <c r="K31" s="3"/>
      <c r="L31" s="3"/>
      <c r="M31" s="3"/>
      <c r="N31" s="3"/>
      <c r="O31" s="3"/>
    </row>
    <row r="32" spans="1:15" x14ac:dyDescent="0.25">
      <c r="A32" s="20" t="s">
        <v>22</v>
      </c>
      <c r="B32" s="22">
        <f>37169257/1000</f>
        <v>37169.256999999998</v>
      </c>
      <c r="C32" s="22">
        <f>244294838/1000</f>
        <v>244294.83799999999</v>
      </c>
      <c r="D32" s="22">
        <f>675532000/1000</f>
        <v>675532</v>
      </c>
      <c r="E32" s="22">
        <f>1410758562/1000</f>
        <v>1410758.5619999999</v>
      </c>
      <c r="F32" s="22">
        <f>1009905343/1000</f>
        <v>1009905.343</v>
      </c>
      <c r="G32" s="22"/>
      <c r="H32" s="22"/>
      <c r="I32" s="23"/>
    </row>
    <row r="33" spans="1:9" x14ac:dyDescent="0.25">
      <c r="A33" s="20" t="s">
        <v>23</v>
      </c>
      <c r="B33" s="22">
        <f>100000/1000</f>
        <v>100</v>
      </c>
      <c r="C33" s="22">
        <f>815808/1000</f>
        <v>815.80799999999999</v>
      </c>
      <c r="D33" s="22"/>
      <c r="E33" s="22"/>
      <c r="F33" s="22"/>
      <c r="G33" s="22"/>
      <c r="H33" s="22"/>
      <c r="I33" s="23"/>
    </row>
    <row r="34" spans="1:9" x14ac:dyDescent="0.25">
      <c r="A34" s="20" t="s">
        <v>24</v>
      </c>
      <c r="B34" s="22">
        <f>7224000/1000</f>
        <v>7224</v>
      </c>
      <c r="C34" s="22">
        <f>26514595/1000</f>
        <v>26514.595000000001</v>
      </c>
      <c r="D34" s="22">
        <f>230707626/1000</f>
        <v>230707.62599999999</v>
      </c>
      <c r="E34" s="22">
        <f>174910035/1000</f>
        <v>174910.035</v>
      </c>
      <c r="F34" s="22">
        <f>40889641/1000</f>
        <v>40889.641000000003</v>
      </c>
      <c r="G34" s="22"/>
      <c r="H34" s="22"/>
      <c r="I34" s="23"/>
    </row>
    <row r="35" spans="1:9" x14ac:dyDescent="0.25">
      <c r="A35" s="20" t="s">
        <v>48</v>
      </c>
      <c r="B35" s="22">
        <f>(211923986+4581223)/1000</f>
        <v>216505.209</v>
      </c>
      <c r="C35" s="22">
        <f>(278527015+72950736)/1000</f>
        <v>351477.75099999999</v>
      </c>
      <c r="D35" s="22">
        <f>5673898/1000</f>
        <v>5673.8980000000001</v>
      </c>
      <c r="E35" s="22"/>
      <c r="F35" s="22"/>
      <c r="G35" s="22"/>
      <c r="H35" s="22"/>
      <c r="I35" s="23"/>
    </row>
    <row r="36" spans="1:9" x14ac:dyDescent="0.25">
      <c r="A36" s="20" t="s">
        <v>46</v>
      </c>
      <c r="B36" s="22">
        <f>1663039/1000</f>
        <v>1663.039</v>
      </c>
      <c r="C36" s="22">
        <f>62411290/1000</f>
        <v>62411.29</v>
      </c>
      <c r="D36" s="22">
        <f>22634260/1000</f>
        <v>22634.26</v>
      </c>
      <c r="E36" s="22"/>
      <c r="F36" s="22"/>
      <c r="G36" s="22"/>
      <c r="H36" s="22"/>
      <c r="I36" s="23"/>
    </row>
    <row r="37" spans="1:9" x14ac:dyDescent="0.25">
      <c r="A37" s="20" t="s">
        <v>47</v>
      </c>
      <c r="B37" s="22"/>
      <c r="C37" s="22"/>
      <c r="D37" s="22"/>
      <c r="E37" s="22"/>
      <c r="F37" s="22"/>
      <c r="G37" s="22"/>
      <c r="H37" s="22"/>
      <c r="I37" s="23"/>
    </row>
    <row r="38" spans="1:9" x14ac:dyDescent="0.25">
      <c r="A38" s="20"/>
      <c r="B38" s="22"/>
      <c r="C38" s="22"/>
      <c r="D38" s="22"/>
      <c r="E38" s="22"/>
      <c r="F38" s="22"/>
      <c r="G38" s="22"/>
      <c r="H38" s="22"/>
      <c r="I38" s="23"/>
    </row>
    <row r="39" spans="1:9" x14ac:dyDescent="0.25">
      <c r="A39" s="20"/>
      <c r="B39" s="22"/>
      <c r="C39" s="22"/>
      <c r="D39" s="22"/>
      <c r="E39" s="22"/>
      <c r="F39" s="22"/>
      <c r="G39" s="22"/>
      <c r="H39" s="22"/>
      <c r="I39" s="35"/>
    </row>
    <row r="40" spans="1:9" x14ac:dyDescent="0.25">
      <c r="A40" s="33" t="s">
        <v>53</v>
      </c>
    </row>
    <row r="44" spans="1:9" x14ac:dyDescent="0.25">
      <c r="A44"/>
      <c r="B44"/>
      <c r="C44"/>
      <c r="D44"/>
      <c r="E44"/>
      <c r="F44"/>
      <c r="G44"/>
      <c r="H44"/>
      <c r="I44"/>
    </row>
    <row r="45" spans="1:9" x14ac:dyDescent="0.25">
      <c r="A45"/>
      <c r="B45"/>
      <c r="C45"/>
      <c r="D45"/>
      <c r="E45"/>
      <c r="F45"/>
      <c r="G45"/>
      <c r="H45"/>
      <c r="I45"/>
    </row>
    <row r="46" spans="1:9" x14ac:dyDescent="0.25">
      <c r="A46"/>
      <c r="B46"/>
      <c r="C46"/>
      <c r="D46"/>
      <c r="E46"/>
      <c r="F46"/>
      <c r="G46"/>
      <c r="H46"/>
      <c r="I46"/>
    </row>
    <row r="47" spans="1:9" x14ac:dyDescent="0.25">
      <c r="A47"/>
      <c r="B47"/>
      <c r="C47"/>
      <c r="D47"/>
      <c r="E47"/>
      <c r="F47"/>
      <c r="G47"/>
      <c r="H47"/>
      <c r="I47"/>
    </row>
    <row r="48" spans="1:9" ht="15" customHeight="1" x14ac:dyDescent="0.25">
      <c r="A48"/>
      <c r="B48"/>
      <c r="C48"/>
      <c r="D48"/>
      <c r="E48"/>
      <c r="F48"/>
      <c r="G48"/>
      <c r="H48"/>
      <c r="I48"/>
    </row>
    <row r="49" spans="1:9" x14ac:dyDescent="0.25">
      <c r="A49"/>
      <c r="B49"/>
      <c r="C49"/>
      <c r="D49"/>
      <c r="E49"/>
      <c r="F49"/>
      <c r="G49"/>
      <c r="H49"/>
      <c r="I49"/>
    </row>
    <row r="50" spans="1:9" x14ac:dyDescent="0.25">
      <c r="A50"/>
      <c r="B50"/>
      <c r="C50"/>
      <c r="D50"/>
      <c r="E50"/>
      <c r="F50"/>
      <c r="G50"/>
      <c r="H50"/>
      <c r="I50"/>
    </row>
    <row r="51" spans="1:9" x14ac:dyDescent="0.25">
      <c r="A51"/>
      <c r="B51"/>
      <c r="C51"/>
      <c r="D51"/>
      <c r="E51"/>
      <c r="F51"/>
      <c r="G51"/>
      <c r="H51"/>
      <c r="I51"/>
    </row>
    <row r="52" spans="1:9" x14ac:dyDescent="0.25">
      <c r="A52"/>
      <c r="B52"/>
      <c r="C52"/>
      <c r="D52"/>
      <c r="E52"/>
      <c r="F52"/>
      <c r="G52"/>
      <c r="H52"/>
      <c r="I52"/>
    </row>
    <row r="53" spans="1:9" x14ac:dyDescent="0.25">
      <c r="A53"/>
      <c r="B53"/>
      <c r="C53"/>
      <c r="D53"/>
      <c r="E53"/>
      <c r="F53"/>
      <c r="G53"/>
      <c r="H53"/>
      <c r="I53"/>
    </row>
    <row r="54" spans="1:9" x14ac:dyDescent="0.25">
      <c r="A54"/>
      <c r="B54"/>
      <c r="C54"/>
      <c r="D54"/>
      <c r="E54"/>
      <c r="F54"/>
      <c r="G54"/>
      <c r="H54"/>
      <c r="I54"/>
    </row>
    <row r="55" spans="1:9" x14ac:dyDescent="0.25">
      <c r="A55"/>
      <c r="B55"/>
      <c r="C55"/>
      <c r="D55"/>
      <c r="E55"/>
      <c r="F55"/>
      <c r="G55"/>
      <c r="H55"/>
      <c r="I5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79A9D-CC1D-415A-883C-128A23A66BB8}">
  <dimension ref="A1:I13"/>
  <sheetViews>
    <sheetView workbookViewId="0">
      <selection activeCell="A16" sqref="A16"/>
    </sheetView>
  </sheetViews>
  <sheetFormatPr defaultRowHeight="15" x14ac:dyDescent="0.25"/>
  <cols>
    <col min="1" max="1" width="104.28515625" customWidth="1"/>
    <col min="2" max="2" width="16.42578125" customWidth="1"/>
  </cols>
  <sheetData>
    <row r="1" spans="1:9" x14ac:dyDescent="0.25">
      <c r="A1" s="34" t="s">
        <v>56</v>
      </c>
      <c r="B1" s="12" t="s">
        <v>33</v>
      </c>
      <c r="C1" s="12" t="s">
        <v>34</v>
      </c>
      <c r="D1" s="12" t="s">
        <v>35</v>
      </c>
      <c r="E1" s="12" t="s">
        <v>36</v>
      </c>
      <c r="F1" s="12" t="s">
        <v>37</v>
      </c>
      <c r="G1" s="12" t="s">
        <v>38</v>
      </c>
      <c r="H1" s="12" t="s">
        <v>39</v>
      </c>
      <c r="I1" s="13" t="s">
        <v>40</v>
      </c>
    </row>
    <row r="2" spans="1:9" x14ac:dyDescent="0.25">
      <c r="A2" s="14" t="s">
        <v>55</v>
      </c>
      <c r="B2" s="11"/>
      <c r="C2" s="11"/>
      <c r="D2" s="11"/>
      <c r="E2" s="11"/>
      <c r="F2" s="11"/>
      <c r="G2" s="11"/>
      <c r="H2" s="11"/>
      <c r="I2" s="18"/>
    </row>
    <row r="3" spans="1:9" x14ac:dyDescent="0.25">
      <c r="A3" s="26" t="s">
        <v>28</v>
      </c>
      <c r="B3" s="27">
        <v>2275.027</v>
      </c>
      <c r="C3" s="27">
        <v>6789.57</v>
      </c>
      <c r="D3" s="27">
        <v>610.34400000000005</v>
      </c>
      <c r="E3" s="15"/>
      <c r="F3" s="15"/>
      <c r="G3" s="15"/>
      <c r="H3" s="15"/>
      <c r="I3" s="19"/>
    </row>
    <row r="4" spans="1:9" x14ac:dyDescent="0.25">
      <c r="A4" s="26" t="s">
        <v>8</v>
      </c>
      <c r="B4" s="28">
        <f>262000000/1000</f>
        <v>262000</v>
      </c>
      <c r="C4" s="28">
        <f>243000000/1000</f>
        <v>243000</v>
      </c>
      <c r="D4" s="27"/>
      <c r="E4" s="15"/>
      <c r="F4" s="15"/>
      <c r="G4" s="15"/>
      <c r="H4" s="15"/>
      <c r="I4" s="19"/>
    </row>
    <row r="5" spans="1:9" x14ac:dyDescent="0.25">
      <c r="A5" s="26" t="s">
        <v>30</v>
      </c>
      <c r="B5" s="28">
        <f>41000000/1000</f>
        <v>41000</v>
      </c>
      <c r="C5" s="28">
        <f>57000000/1000</f>
        <v>57000</v>
      </c>
      <c r="D5" s="27"/>
      <c r="E5" s="15"/>
      <c r="F5" s="15"/>
      <c r="G5" s="15"/>
      <c r="H5" s="15"/>
      <c r="I5" s="19"/>
    </row>
    <row r="6" spans="1:9" x14ac:dyDescent="0.25">
      <c r="A6" s="26" t="s">
        <v>29</v>
      </c>
      <c r="B6" s="28">
        <f>69000000/1000</f>
        <v>69000</v>
      </c>
      <c r="C6" s="28">
        <f>69000000/1000</f>
        <v>69000</v>
      </c>
      <c r="D6" s="27"/>
      <c r="E6" s="15"/>
      <c r="F6" s="15"/>
      <c r="G6" s="15"/>
      <c r="H6" s="15"/>
      <c r="I6" s="19"/>
    </row>
    <row r="7" spans="1:9" x14ac:dyDescent="0.25">
      <c r="A7" s="26" t="s">
        <v>18</v>
      </c>
      <c r="B7" s="28">
        <f>100000000/1000</f>
        <v>100000</v>
      </c>
      <c r="C7" s="28">
        <f>100000000/1000</f>
        <v>100000</v>
      </c>
      <c r="D7" s="27"/>
      <c r="E7" s="15"/>
      <c r="F7" s="15"/>
      <c r="G7" s="15"/>
      <c r="H7" s="15"/>
      <c r="I7" s="19"/>
    </row>
    <row r="8" spans="1:9" x14ac:dyDescent="0.25">
      <c r="A8" s="26" t="s">
        <v>26</v>
      </c>
      <c r="B8" s="28">
        <f>60000000/1000</f>
        <v>60000</v>
      </c>
      <c r="C8" s="28">
        <f>30000000/1000</f>
        <v>30000</v>
      </c>
      <c r="D8" s="27"/>
      <c r="E8" s="15"/>
      <c r="F8" s="15"/>
      <c r="G8" s="15"/>
      <c r="H8" s="15"/>
      <c r="I8" s="19"/>
    </row>
    <row r="9" spans="1:9" x14ac:dyDescent="0.25">
      <c r="A9" s="26" t="s">
        <v>27</v>
      </c>
      <c r="B9" s="28">
        <f>4000000/1000</f>
        <v>4000</v>
      </c>
      <c r="C9" s="28">
        <f>4000000/1000</f>
        <v>4000</v>
      </c>
      <c r="D9" s="28">
        <f>3000000/1000</f>
        <v>3000</v>
      </c>
      <c r="E9" s="15"/>
      <c r="F9" s="15"/>
      <c r="G9" s="15"/>
      <c r="H9" s="15"/>
      <c r="I9" s="19"/>
    </row>
    <row r="10" spans="1:9" x14ac:dyDescent="0.25">
      <c r="A10" s="26" t="s">
        <v>25</v>
      </c>
      <c r="B10" s="28">
        <f>500000000/1000</f>
        <v>500000</v>
      </c>
      <c r="C10" s="28">
        <f>74000000/1000</f>
        <v>74000</v>
      </c>
      <c r="D10" s="27"/>
      <c r="E10" s="15"/>
      <c r="F10" s="15"/>
      <c r="G10" s="15"/>
      <c r="H10" s="15"/>
      <c r="I10" s="19"/>
    </row>
    <row r="11" spans="1:9" x14ac:dyDescent="0.25">
      <c r="A11" s="31"/>
      <c r="B11" s="29"/>
      <c r="C11" s="29"/>
      <c r="D11" s="29"/>
      <c r="E11" s="8"/>
      <c r="F11" s="8"/>
      <c r="G11" s="8"/>
      <c r="H11" s="8"/>
      <c r="I11" s="6"/>
    </row>
    <row r="12" spans="1:9" x14ac:dyDescent="0.25">
      <c r="A12" s="17" t="s">
        <v>0</v>
      </c>
      <c r="B12" s="30">
        <f>SUM(B3:B10)</f>
        <v>1038275.027</v>
      </c>
      <c r="C12" s="30">
        <f>SUM(C3:C10)</f>
        <v>583789.57000000007</v>
      </c>
      <c r="D12" s="30">
        <f>SUM(D3:D10)</f>
        <v>3610.3440000000001</v>
      </c>
      <c r="E12" s="16"/>
      <c r="F12" s="16"/>
      <c r="G12" s="16"/>
      <c r="H12" s="16"/>
      <c r="I12" s="10"/>
    </row>
    <row r="13" spans="1:9" x14ac:dyDescent="0.25">
      <c r="A13" s="26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Program Summary </vt:lpstr>
      <vt:lpstr>Additional reporting from CMHC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Haile, Negash</dc:creator>
  <cp:lastModifiedBy>Scrim, Jocelyne</cp:lastModifiedBy>
  <dcterms:created xsi:type="dcterms:W3CDTF">2018-08-21T17:46:43Z</dcterms:created>
  <dcterms:modified xsi:type="dcterms:W3CDTF">2018-09-17T19:53:49Z</dcterms:modified>
</cp:coreProperties>
</file>