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hoc-cdc.ca\AdminPrivate\FS06U\DevakT\Documents\Pay_System\Model\"/>
    </mc:Choice>
  </mc:AlternateContent>
  <xr:revisionPtr revIDLastSave="0" documentId="8_{9A5D99EE-4A95-4337-B30B-F05D4AACA9AD}" xr6:coauthVersionLast="36" xr6:coauthVersionMax="36" xr10:uidLastSave="{00000000-0000-0000-0000-000000000000}"/>
  <bookViews>
    <workbookView xWindow="0" yWindow="0" windowWidth="28800" windowHeight="11625" activeTab="5" xr2:uid="{D9FD19BF-D31A-4C20-BFC7-05701CB58C99}"/>
  </bookViews>
  <sheets>
    <sheet name="Base Model" sheetId="1" r:id="rId1"/>
    <sheet name="Model with Training" sheetId="4" r:id="rId2"/>
    <sheet name="Salaries" sheetId="2" r:id="rId3"/>
    <sheet name="Number of Employees" sheetId="3" r:id="rId4"/>
    <sheet name="Training " sheetId="5" r:id="rId5"/>
    <sheet name="Historic Cost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6" l="1"/>
  <c r="H17" i="6" s="1"/>
  <c r="D7" i="6"/>
  <c r="G7" i="6" s="1"/>
  <c r="D6" i="6"/>
  <c r="G6" i="6" s="1"/>
  <c r="D5" i="6"/>
  <c r="G5" i="6" s="1"/>
  <c r="D4" i="6"/>
  <c r="D3" i="6"/>
  <c r="U5" i="2" l="1"/>
  <c r="V5" i="2"/>
  <c r="U6" i="2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V6" i="2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4" i="2"/>
  <c r="U4" i="2"/>
  <c r="O5" i="2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Q5" i="2"/>
  <c r="R5" i="2"/>
  <c r="S5" i="2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Q6" i="2"/>
  <c r="R6" i="2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Q7" i="2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P4" i="2"/>
  <c r="Q4" i="2"/>
  <c r="R4" i="2"/>
  <c r="S4" i="2"/>
  <c r="O4" i="2"/>
  <c r="K5" i="2"/>
  <c r="L5" i="2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M5" i="2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L4" i="2"/>
  <c r="M4" i="2"/>
  <c r="K4" i="2"/>
  <c r="G5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H4" i="2"/>
  <c r="I4" i="2"/>
  <c r="G4" i="2"/>
  <c r="B5" i="2"/>
  <c r="C5" i="2"/>
  <c r="D5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D14" i="2" s="1"/>
  <c r="D15" i="2" s="1"/>
  <c r="D16" i="2" s="1"/>
  <c r="D17" i="2" s="1"/>
  <c r="D18" i="2" s="1"/>
  <c r="B14" i="2"/>
  <c r="C14" i="2"/>
  <c r="B15" i="2"/>
  <c r="C15" i="2"/>
  <c r="B16" i="2"/>
  <c r="C16" i="2"/>
  <c r="B17" i="2"/>
  <c r="C17" i="2"/>
  <c r="B18" i="2"/>
  <c r="C18" i="2"/>
  <c r="C4" i="2"/>
  <c r="D4" i="2"/>
  <c r="E4" i="2"/>
  <c r="B4" i="2"/>
  <c r="W3" i="2"/>
  <c r="T3" i="2"/>
  <c r="N3" i="2"/>
  <c r="J3" i="2"/>
  <c r="F3" i="2"/>
  <c r="H4" i="4" l="1"/>
  <c r="H5" i="4"/>
  <c r="H6" i="4"/>
  <c r="H7" i="4"/>
  <c r="H8" i="4"/>
  <c r="H9" i="4"/>
  <c r="H10" i="4"/>
  <c r="H11" i="4"/>
  <c r="B3" i="5"/>
  <c r="C15" i="4" s="1"/>
  <c r="B2" i="5"/>
  <c r="C14" i="4" s="1"/>
  <c r="C13" i="4"/>
  <c r="U3" i="4"/>
  <c r="U4" i="4"/>
  <c r="U5" i="4"/>
  <c r="U6" i="4"/>
  <c r="U7" i="4"/>
  <c r="U8" i="4"/>
  <c r="U9" i="4"/>
  <c r="U10" i="4"/>
  <c r="U11" i="4"/>
  <c r="U2" i="4"/>
  <c r="Q3" i="4"/>
  <c r="Q4" i="4"/>
  <c r="Q5" i="4"/>
  <c r="Q6" i="4"/>
  <c r="Q7" i="4"/>
  <c r="Q8" i="4"/>
  <c r="Q9" i="4"/>
  <c r="Q10" i="4"/>
  <c r="Q11" i="4"/>
  <c r="Q2" i="4"/>
  <c r="M3" i="4"/>
  <c r="M4" i="4"/>
  <c r="M5" i="4"/>
  <c r="M6" i="4"/>
  <c r="M7" i="4"/>
  <c r="M8" i="4"/>
  <c r="M9" i="4"/>
  <c r="M10" i="4"/>
  <c r="M11" i="4"/>
  <c r="M2" i="4"/>
  <c r="I3" i="4"/>
  <c r="I4" i="4"/>
  <c r="I5" i="4"/>
  <c r="I6" i="4"/>
  <c r="I7" i="4"/>
  <c r="I8" i="4"/>
  <c r="I9" i="4"/>
  <c r="I10" i="4"/>
  <c r="I11" i="4"/>
  <c r="I2" i="4"/>
  <c r="Y11" i="4"/>
  <c r="Y10" i="4"/>
  <c r="Y9" i="4"/>
  <c r="Y8" i="4"/>
  <c r="Y7" i="4"/>
  <c r="Y6" i="4"/>
  <c r="Y5" i="4"/>
  <c r="Y4" i="4"/>
  <c r="Y3" i="4"/>
  <c r="Y2" i="4"/>
  <c r="O3" i="1"/>
  <c r="O4" i="1"/>
  <c r="O5" i="1"/>
  <c r="O6" i="1"/>
  <c r="O7" i="1"/>
  <c r="O8" i="1"/>
  <c r="O9" i="1"/>
  <c r="O10" i="1"/>
  <c r="O11" i="1"/>
  <c r="O2" i="1"/>
  <c r="L3" i="1"/>
  <c r="L4" i="1"/>
  <c r="L5" i="1"/>
  <c r="L6" i="1"/>
  <c r="L7" i="1"/>
  <c r="L8" i="1"/>
  <c r="L9" i="1"/>
  <c r="L10" i="1"/>
  <c r="L11" i="1"/>
  <c r="L2" i="1"/>
  <c r="I3" i="1"/>
  <c r="I4" i="1"/>
  <c r="I5" i="1"/>
  <c r="I6" i="1"/>
  <c r="I7" i="1"/>
  <c r="I8" i="1"/>
  <c r="I9" i="1"/>
  <c r="I10" i="1"/>
  <c r="I11" i="1"/>
  <c r="I2" i="1"/>
  <c r="F3" i="1"/>
  <c r="F4" i="1"/>
  <c r="F5" i="1"/>
  <c r="F6" i="1"/>
  <c r="F7" i="1"/>
  <c r="F8" i="1"/>
  <c r="F9" i="1"/>
  <c r="F10" i="1"/>
  <c r="F11" i="1"/>
  <c r="F2" i="1"/>
  <c r="R3" i="1"/>
  <c r="R4" i="1"/>
  <c r="R5" i="1"/>
  <c r="R6" i="1"/>
  <c r="R7" i="1"/>
  <c r="R8" i="1"/>
  <c r="R9" i="1"/>
  <c r="R10" i="1"/>
  <c r="R11" i="1"/>
  <c r="R2" i="1"/>
  <c r="J3" i="4" l="1"/>
  <c r="J2" i="4"/>
  <c r="W4" i="2"/>
  <c r="T4" i="2"/>
  <c r="N4" i="2"/>
  <c r="F4" i="2"/>
  <c r="J4" i="2"/>
  <c r="E11" i="1"/>
  <c r="E3" i="1"/>
  <c r="V2" i="4"/>
  <c r="G5" i="4"/>
  <c r="F5" i="4" s="1"/>
  <c r="R2" i="4"/>
  <c r="V3" i="4"/>
  <c r="E4" i="1"/>
  <c r="R3" i="4"/>
  <c r="N2" i="4"/>
  <c r="N3" i="4"/>
  <c r="G9" i="4"/>
  <c r="F9" i="4" s="1"/>
  <c r="G8" i="4"/>
  <c r="F8" i="4" s="1"/>
  <c r="G4" i="4"/>
  <c r="F4" i="4" s="1"/>
  <c r="G7" i="4"/>
  <c r="F7" i="4" s="1"/>
  <c r="G3" i="4"/>
  <c r="G10" i="4"/>
  <c r="F10" i="4" s="1"/>
  <c r="G6" i="4"/>
  <c r="F6" i="4" s="1"/>
  <c r="G2" i="4"/>
  <c r="E5" i="1"/>
  <c r="G11" i="4"/>
  <c r="F11" i="4" s="1"/>
  <c r="E7" i="1"/>
  <c r="E9" i="1"/>
  <c r="E8" i="1"/>
  <c r="E10" i="1"/>
  <c r="E6" i="1"/>
  <c r="E2" i="1"/>
  <c r="W5" i="2" l="1"/>
  <c r="J5" i="2"/>
  <c r="N5" i="2"/>
  <c r="F5" i="2"/>
  <c r="T5" i="2"/>
  <c r="H3" i="4"/>
  <c r="F3" i="4" s="1"/>
  <c r="H2" i="4"/>
  <c r="F2" i="4" s="1"/>
  <c r="W6" i="2" l="1"/>
  <c r="F6" i="2"/>
  <c r="J6" i="2"/>
  <c r="T6" i="2"/>
  <c r="N6" i="2"/>
  <c r="W7" i="2" l="1"/>
  <c r="N7" i="2"/>
  <c r="J7" i="2"/>
  <c r="T7" i="2"/>
  <c r="F7" i="2"/>
  <c r="W8" i="2" l="1"/>
  <c r="T8" i="2"/>
  <c r="N8" i="2"/>
  <c r="F8" i="2"/>
  <c r="J8" i="2"/>
  <c r="W9" i="2" l="1"/>
  <c r="J9" i="2"/>
  <c r="N9" i="2"/>
  <c r="F9" i="2"/>
  <c r="T9" i="2"/>
  <c r="O2" i="4" l="1"/>
  <c r="P2" i="4" s="1"/>
  <c r="J2" i="1"/>
  <c r="K2" i="1" s="1"/>
  <c r="S2" i="4"/>
  <c r="T2" i="4" s="1"/>
  <c r="M2" i="1"/>
  <c r="N2" i="1" s="1"/>
  <c r="W10" i="2"/>
  <c r="W2" i="4"/>
  <c r="X2" i="4" s="1"/>
  <c r="P2" i="1"/>
  <c r="Q2" i="1" s="1"/>
  <c r="S2" i="1"/>
  <c r="T2" i="1" s="1"/>
  <c r="Z2" i="4"/>
  <c r="AA2" i="4" s="1"/>
  <c r="G2" i="1"/>
  <c r="H2" i="1" s="1"/>
  <c r="K2" i="4"/>
  <c r="T10" i="2"/>
  <c r="N10" i="2"/>
  <c r="F10" i="2"/>
  <c r="J10" i="2"/>
  <c r="C2" i="1" l="1"/>
  <c r="B2" i="1" s="1"/>
  <c r="D2" i="1" s="1"/>
  <c r="S3" i="4"/>
  <c r="T3" i="4" s="1"/>
  <c r="M3" i="1"/>
  <c r="N3" i="1" s="1"/>
  <c r="P3" i="1"/>
  <c r="Q3" i="1" s="1"/>
  <c r="W3" i="4"/>
  <c r="X3" i="4" s="1"/>
  <c r="W11" i="2"/>
  <c r="O3" i="4"/>
  <c r="P3" i="4" s="1"/>
  <c r="J3" i="1"/>
  <c r="K3" i="1" s="1"/>
  <c r="Z3" i="4"/>
  <c r="AA3" i="4" s="1"/>
  <c r="S3" i="1"/>
  <c r="T3" i="1" s="1"/>
  <c r="K3" i="4"/>
  <c r="G3" i="1"/>
  <c r="H3" i="1" s="1"/>
  <c r="L2" i="4"/>
  <c r="D2" i="4"/>
  <c r="E2" i="4"/>
  <c r="F11" i="2"/>
  <c r="T11" i="2"/>
  <c r="J11" i="2"/>
  <c r="N11" i="2"/>
  <c r="C2" i="4" l="1"/>
  <c r="B2" i="4" s="1"/>
  <c r="W12" i="2"/>
  <c r="S4" i="4"/>
  <c r="T4" i="4" s="1"/>
  <c r="M4" i="1"/>
  <c r="N4" i="1" s="1"/>
  <c r="O4" i="4"/>
  <c r="P4" i="4" s="1"/>
  <c r="J4" i="1"/>
  <c r="K4" i="1" s="1"/>
  <c r="S4" i="1"/>
  <c r="T4" i="1" s="1"/>
  <c r="Z4" i="4"/>
  <c r="AA4" i="4" s="1"/>
  <c r="W4" i="4"/>
  <c r="X4" i="4" s="1"/>
  <c r="P4" i="1"/>
  <c r="Q4" i="1" s="1"/>
  <c r="C3" i="1"/>
  <c r="B3" i="1" s="1"/>
  <c r="D3" i="1" s="1"/>
  <c r="G4" i="1"/>
  <c r="H4" i="1" s="1"/>
  <c r="K4" i="4"/>
  <c r="D3" i="4"/>
  <c r="E3" i="4"/>
  <c r="L3" i="4"/>
  <c r="N12" i="2"/>
  <c r="T12" i="2"/>
  <c r="J12" i="2"/>
  <c r="F12" i="2"/>
  <c r="O5" i="4" l="1"/>
  <c r="P5" i="4" s="1"/>
  <c r="J5" i="1"/>
  <c r="K5" i="1" s="1"/>
  <c r="M5" i="1"/>
  <c r="N5" i="1" s="1"/>
  <c r="S5" i="4"/>
  <c r="T5" i="4" s="1"/>
  <c r="W13" i="2"/>
  <c r="S5" i="1"/>
  <c r="T5" i="1" s="1"/>
  <c r="Z5" i="4"/>
  <c r="AA5" i="4" s="1"/>
  <c r="P5" i="1"/>
  <c r="Q5" i="1" s="1"/>
  <c r="W5" i="4"/>
  <c r="X5" i="4" s="1"/>
  <c r="C4" i="1"/>
  <c r="B4" i="1" s="1"/>
  <c r="D4" i="1" s="1"/>
  <c r="C3" i="4"/>
  <c r="B3" i="4" s="1"/>
  <c r="G5" i="1"/>
  <c r="H5" i="1" s="1"/>
  <c r="K5" i="4"/>
  <c r="E4" i="4"/>
  <c r="D4" i="4"/>
  <c r="L4" i="4"/>
  <c r="F13" i="2"/>
  <c r="T13" i="2"/>
  <c r="J13" i="2"/>
  <c r="N13" i="2"/>
  <c r="C5" i="1" l="1"/>
  <c r="B5" i="1" s="1"/>
  <c r="D5" i="1" s="1"/>
  <c r="J6" i="1"/>
  <c r="K6" i="1" s="1"/>
  <c r="O6" i="4"/>
  <c r="P6" i="4" s="1"/>
  <c r="W14" i="2"/>
  <c r="M6" i="1"/>
  <c r="N6" i="1" s="1"/>
  <c r="S6" i="4"/>
  <c r="T6" i="4" s="1"/>
  <c r="P6" i="1"/>
  <c r="Q6" i="1" s="1"/>
  <c r="W6" i="4"/>
  <c r="X6" i="4" s="1"/>
  <c r="Z6" i="4"/>
  <c r="AA6" i="4" s="1"/>
  <c r="S6" i="1"/>
  <c r="T6" i="1" s="1"/>
  <c r="D5" i="4"/>
  <c r="L5" i="4"/>
  <c r="E5" i="4"/>
  <c r="K6" i="4"/>
  <c r="G6" i="1"/>
  <c r="H6" i="1" s="1"/>
  <c r="C4" i="4"/>
  <c r="B4" i="4" s="1"/>
  <c r="J14" i="2"/>
  <c r="F14" i="2"/>
  <c r="N14" i="2"/>
  <c r="T14" i="2"/>
  <c r="C6" i="1" l="1"/>
  <c r="B6" i="1" s="1"/>
  <c r="D6" i="1" s="1"/>
  <c r="S7" i="1"/>
  <c r="T7" i="1" s="1"/>
  <c r="Z7" i="4"/>
  <c r="AA7" i="4" s="1"/>
  <c r="W7" i="4"/>
  <c r="X7" i="4" s="1"/>
  <c r="P7" i="1"/>
  <c r="Q7" i="1" s="1"/>
  <c r="W15" i="2"/>
  <c r="J7" i="1"/>
  <c r="K7" i="1" s="1"/>
  <c r="O7" i="4"/>
  <c r="P7" i="4" s="1"/>
  <c r="M7" i="1"/>
  <c r="N7" i="1" s="1"/>
  <c r="S7" i="4"/>
  <c r="T7" i="4" s="1"/>
  <c r="E6" i="4"/>
  <c r="L6" i="4"/>
  <c r="D6" i="4"/>
  <c r="K7" i="4"/>
  <c r="G7" i="1"/>
  <c r="H7" i="1" s="1"/>
  <c r="C5" i="4"/>
  <c r="B5" i="4" s="1"/>
  <c r="T15" i="2"/>
  <c r="F15" i="2"/>
  <c r="N15" i="2"/>
  <c r="J15" i="2"/>
  <c r="S8" i="4" l="1"/>
  <c r="T8" i="4" s="1"/>
  <c r="M8" i="1"/>
  <c r="N8" i="1" s="1"/>
  <c r="W16" i="2"/>
  <c r="O8" i="4"/>
  <c r="P8" i="4" s="1"/>
  <c r="J8" i="1"/>
  <c r="K8" i="1" s="1"/>
  <c r="C7" i="1"/>
  <c r="B7" i="1" s="1"/>
  <c r="D7" i="1" s="1"/>
  <c r="W8" i="4"/>
  <c r="X8" i="4" s="1"/>
  <c r="P8" i="1"/>
  <c r="Q8" i="1" s="1"/>
  <c r="S8" i="1"/>
  <c r="T8" i="1" s="1"/>
  <c r="Z8" i="4"/>
  <c r="AA8" i="4" s="1"/>
  <c r="E7" i="4"/>
  <c r="D7" i="4"/>
  <c r="L7" i="4"/>
  <c r="C6" i="4"/>
  <c r="B6" i="4" s="1"/>
  <c r="G8" i="1"/>
  <c r="H8" i="1" s="1"/>
  <c r="K8" i="4"/>
  <c r="J16" i="2"/>
  <c r="F16" i="2"/>
  <c r="N16" i="2"/>
  <c r="T16" i="2"/>
  <c r="C7" i="4" l="1"/>
  <c r="B7" i="4" s="1"/>
  <c r="W9" i="4"/>
  <c r="X9" i="4" s="1"/>
  <c r="P9" i="1"/>
  <c r="Q9" i="1" s="1"/>
  <c r="C8" i="1"/>
  <c r="B8" i="1" s="1"/>
  <c r="D8" i="1" s="1"/>
  <c r="W17" i="2"/>
  <c r="W18" i="2"/>
  <c r="S9" i="4"/>
  <c r="T9" i="4" s="1"/>
  <c r="M9" i="1"/>
  <c r="N9" i="1" s="1"/>
  <c r="J9" i="1"/>
  <c r="K9" i="1" s="1"/>
  <c r="O9" i="4"/>
  <c r="P9" i="4" s="1"/>
  <c r="Z9" i="4"/>
  <c r="AA9" i="4" s="1"/>
  <c r="S9" i="1"/>
  <c r="T9" i="1" s="1"/>
  <c r="G9" i="1"/>
  <c r="H9" i="1" s="1"/>
  <c r="K9" i="4"/>
  <c r="D8" i="4"/>
  <c r="E8" i="4"/>
  <c r="L8" i="4"/>
  <c r="T18" i="2"/>
  <c r="T17" i="2"/>
  <c r="F18" i="2"/>
  <c r="F17" i="2"/>
  <c r="N18" i="2"/>
  <c r="N17" i="2"/>
  <c r="J18" i="2"/>
  <c r="J17" i="2"/>
  <c r="C9" i="1" l="1"/>
  <c r="B9" i="1" s="1"/>
  <c r="D9" i="1" s="1"/>
  <c r="Z10" i="4"/>
  <c r="AA10" i="4" s="1"/>
  <c r="S10" i="1"/>
  <c r="T10" i="1" s="1"/>
  <c r="O11" i="4"/>
  <c r="P11" i="4" s="1"/>
  <c r="J11" i="1"/>
  <c r="K11" i="1" s="1"/>
  <c r="J10" i="1"/>
  <c r="K10" i="1" s="1"/>
  <c r="O10" i="4"/>
  <c r="P10" i="4" s="1"/>
  <c r="M10" i="1"/>
  <c r="N10" i="1" s="1"/>
  <c r="S10" i="4"/>
  <c r="T10" i="4" s="1"/>
  <c r="P10" i="1"/>
  <c r="Q10" i="1" s="1"/>
  <c r="W10" i="4"/>
  <c r="X10" i="4" s="1"/>
  <c r="S11" i="4"/>
  <c r="T11" i="4" s="1"/>
  <c r="M11" i="1"/>
  <c r="N11" i="1" s="1"/>
  <c r="P11" i="1"/>
  <c r="Q11" i="1" s="1"/>
  <c r="W11" i="4"/>
  <c r="X11" i="4" s="1"/>
  <c r="S11" i="1"/>
  <c r="T11" i="1" s="1"/>
  <c r="Z11" i="4"/>
  <c r="AA11" i="4" s="1"/>
  <c r="C8" i="4"/>
  <c r="B8" i="4" s="1"/>
  <c r="E9" i="4"/>
  <c r="L9" i="4"/>
  <c r="D9" i="4"/>
  <c r="K11" i="4"/>
  <c r="G11" i="1"/>
  <c r="H11" i="1" s="1"/>
  <c r="K10" i="4"/>
  <c r="G10" i="1"/>
  <c r="H10" i="1" s="1"/>
  <c r="C10" i="1" l="1"/>
  <c r="B10" i="1" s="1"/>
  <c r="D10" i="1" s="1"/>
  <c r="C9" i="4"/>
  <c r="B9" i="4" s="1"/>
  <c r="C11" i="1"/>
  <c r="B11" i="1" s="1"/>
  <c r="D11" i="1" s="1"/>
  <c r="E10" i="4"/>
  <c r="L10" i="4"/>
  <c r="D10" i="4"/>
  <c r="E11" i="4"/>
  <c r="L11" i="4"/>
  <c r="D11" i="4"/>
  <c r="C11" i="4" l="1"/>
  <c r="B11" i="4" s="1"/>
  <c r="C10" i="4"/>
  <c r="B10" i="4" s="1"/>
</calcChain>
</file>

<file path=xl/sharedStrings.xml><?xml version="1.0" encoding="utf-8"?>
<sst xmlns="http://schemas.openxmlformats.org/spreadsheetml/2006/main" count="194" uniqueCount="128">
  <si>
    <t>Fiscal Year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</si>
  <si>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</si>
  <si>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</si>
  <si>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</si>
  <si>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</si>
  <si>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</si>
  <si>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</si>
  <si>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</si>
  <si>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</si>
  <si>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</si>
  <si>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</si>
  <si>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Total Personnel Cost</t>
  </si>
  <si>
    <t>Total Salary Cost</t>
  </si>
  <si>
    <t>Total Number of Employees</t>
  </si>
  <si>
    <t>Number of AS-01s</t>
  </si>
  <si>
    <t>AS-01 Salary (inflated)</t>
  </si>
  <si>
    <t>Total AS-01 Salary Spending</t>
  </si>
  <si>
    <t>Number of AS-02s</t>
  </si>
  <si>
    <t>AS-02 Salary (inflated)</t>
  </si>
  <si>
    <t>Total AS-02 Salary Spending</t>
  </si>
  <si>
    <t>Number of AS-04s</t>
  </si>
  <si>
    <t>AS-04 Salary (inflated)</t>
  </si>
  <si>
    <t>Total AS-04 Salary Spending</t>
  </si>
  <si>
    <t>Number of AS-07s</t>
  </si>
  <si>
    <t>AS-07 Salary (inflated)</t>
  </si>
  <si>
    <t>Total AS-07 Salary Spending</t>
  </si>
  <si>
    <t>Number of EX-02s</t>
  </si>
  <si>
    <t>EX-02 Salary (inflated)</t>
  </si>
  <si>
    <t>Total EX-02 Salary Spending</t>
  </si>
  <si>
    <t>Total Number of Employees:</t>
  </si>
  <si>
    <t>Composition of Workforce:</t>
  </si>
  <si>
    <t>Year</t>
  </si>
  <si>
    <t>AS-01</t>
  </si>
  <si>
    <t>Step 1</t>
  </si>
  <si>
    <t>Step 2</t>
  </si>
  <si>
    <t>Step 3</t>
  </si>
  <si>
    <t>Step 4</t>
  </si>
  <si>
    <t>Standard yearly increase:</t>
  </si>
  <si>
    <t>2018-2019</t>
  </si>
  <si>
    <t>2019-2020</t>
  </si>
  <si>
    <t>2020-2021</t>
  </si>
  <si>
    <t>2021-2022</t>
  </si>
  <si>
    <t>2022-2023</t>
  </si>
  <si>
    <t>AS-02</t>
  </si>
  <si>
    <t>AS-04</t>
  </si>
  <si>
    <t>AS-07</t>
  </si>
  <si>
    <t>Step 5</t>
  </si>
  <si>
    <t>Effective 2017*</t>
  </si>
  <si>
    <t>* AS salaries are effective June 21, 2017, EX salaries are effective April 1, 2017.</t>
  </si>
  <si>
    <t>EX-02</t>
  </si>
  <si>
    <t>Minimum</t>
  </si>
  <si>
    <t>Maximum</t>
  </si>
  <si>
    <t>AS Salary Source</t>
  </si>
  <si>
    <t>EX Salary Source</t>
  </si>
  <si>
    <t>Standard</t>
  </si>
  <si>
    <t>Ratio</t>
  </si>
  <si>
    <t>Number of Pay Employees</t>
  </si>
  <si>
    <t>Benchmarking - All</t>
  </si>
  <si>
    <t>Pay Consolidation - Goal</t>
  </si>
  <si>
    <t>Benchmarking - Government</t>
  </si>
  <si>
    <t>AS-01s</t>
  </si>
  <si>
    <t>AS-02s</t>
  </si>
  <si>
    <t>AS-04s</t>
  </si>
  <si>
    <t>AS-07s</t>
  </si>
  <si>
    <t>EX (Fixed)</t>
  </si>
  <si>
    <t>Number of Permanent Employees</t>
  </si>
  <si>
    <t>Number of Permanent AS-01s</t>
  </si>
  <si>
    <t>Extra Staff Needed Year 1:</t>
  </si>
  <si>
    <t>Extra Staff Needed Year 2:</t>
  </si>
  <si>
    <t>Period (In years)</t>
  </si>
  <si>
    <t>Percent employees needed above normal</t>
  </si>
  <si>
    <t>The source of funds to pay for these Compensation Advisors in each of these three waves will be as follows:</t>
  </si>
  <si>
    <t>Source of funds</t>
  </si>
  <si>
    <t>Period</t>
  </si>
  <si>
    <t>Consolidation of Pay Services, Phase 1</t>
  </si>
  <si>
    <t>From Departments</t>
  </si>
  <si>
    <t>(in months)</t>
  </si>
  <si>
    <t>0 to 6</t>
  </si>
  <si>
    <t>7 to 12</t>
  </si>
  <si>
    <t>13 to 18</t>
  </si>
  <si>
    <t>19+</t>
  </si>
  <si>
    <t>3 onward</t>
  </si>
  <si>
    <t>Number of Temporary Employees</t>
  </si>
  <si>
    <t>Permanent Salary Costs</t>
  </si>
  <si>
    <t>Temporary Salary Costs</t>
  </si>
  <si>
    <t>Number of Temporary AS-01s</t>
  </si>
  <si>
    <t>Number of Temporary AS-02s</t>
  </si>
  <si>
    <t>Number of Temporary AS-04s</t>
  </si>
  <si>
    <t>Number of Temporary AS-07s</t>
  </si>
  <si>
    <t>Number of Permanent AS-02s</t>
  </si>
  <si>
    <t>Number of Permanent AS-04s</t>
  </si>
  <si>
    <t>Number of Permanent AS-07s</t>
  </si>
  <si>
    <t>Average</t>
  </si>
  <si>
    <t>Composition</t>
  </si>
  <si>
    <t>Total salary expenditures  - Pay Centre</t>
  </si>
  <si>
    <t>Salary</t>
  </si>
  <si>
    <t>2013-2014</t>
  </si>
  <si>
    <t>2014-2015</t>
  </si>
  <si>
    <t>2015-2016</t>
  </si>
  <si>
    <t>2016-2017 *</t>
  </si>
  <si>
    <t>2017-2018*</t>
  </si>
  <si>
    <t>Total Personnel Spending</t>
  </si>
  <si>
    <t>Source: 2009 Initiative to Fix the Pay System Business Case Appendix A</t>
  </si>
  <si>
    <t>Source: IR 413</t>
  </si>
  <si>
    <t>2008-2009</t>
  </si>
  <si>
    <t>"Fully loaded" AS-02 Salary</t>
  </si>
  <si>
    <t>"Fully loaded" AS-04 Salary</t>
  </si>
  <si>
    <t>Total Spending</t>
  </si>
  <si>
    <t>Number of Accounts</t>
  </si>
  <si>
    <t>Per-account Cost</t>
  </si>
  <si>
    <t>NA</t>
  </si>
  <si>
    <t>Number of FTEs Serviced by Phoenix</t>
  </si>
  <si>
    <t>Number of Accounts (PBO assumption)</t>
  </si>
  <si>
    <t>Notes:</t>
  </si>
  <si>
    <t xml:space="preserve">The PBO was unable to reconcile why PSPC reported having more FTEs serviced  by Phoenix than there were working for the government in fiscal years 2016-2017 and 2017-2018. Therefore per-account costs were estimated assuming 300,000 acounts. </t>
  </si>
  <si>
    <t>Phoenix went live in 2016</t>
  </si>
  <si>
    <t>* Includes employees at satellite offices</t>
  </si>
  <si>
    <t>"fully loaded" salaries include 20% in benefits</t>
  </si>
  <si>
    <t>Employee Benefit Program</t>
  </si>
  <si>
    <t xml:space="preserve">Essentially, it will take a CA up to 18 months to become completely proficient in pay administration.  During this 18-month period, the Compensation Advisors will provide services to departments in an incremental fashion, while undergoing training.  As a result, departments will pay   only part of the Compensation Advisors' salary.  Once the CA is fully trained, then departmental reference levels will be reduced. </t>
  </si>
  <si>
    <t>Because PSPC was unable to provide the PBO with the cost of training a compensation advisor, the PBO estimated training costs using the source of funds outlined in the 2009 Business Case</t>
  </si>
  <si>
    <t xml:space="preserve">Benchmarking standards refer to staffing ratios from Bloomberg BNA's Payroll Department Benchmarks and Analysis 2015-2016. </t>
  </si>
  <si>
    <t>Pay Consolidation - Goal is the number of employees originally planned to work at the Pay Centre in the 2009 Business Case</t>
  </si>
  <si>
    <t>Total personnel cost is total salary cost increased by 27% to include the cost of employee benefits</t>
  </si>
  <si>
    <t>Appendix B of the report provides a full description of the methodology and the rational behind the above calculations.</t>
  </si>
  <si>
    <t>Number of Compensation Advisors (AS-02s)</t>
  </si>
  <si>
    <t>Number of Compensation Advisor managers (AS-04s)</t>
  </si>
  <si>
    <t>The total population of the Government of Canada is assumed to be 270,000 employees (pay accounts) in 2008-2009.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</si>
</sst>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2" fillId="0" borderId="0" xfId="0" applyFont="1" applyBorder="1"/>
    <xf numFmtId="0" fontId="2" fillId="0" borderId="7" xfId="0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2" borderId="0" xfId="0" applyFill="1"/>
    <xf numFmtId="1" fontId="0" fillId="0" borderId="0" xfId="0" applyNumberFormat="1" applyBorder="1"/>
    <xf numFmtId="1" fontId="0" fillId="0" borderId="2" xfId="0" applyNumberFormat="1" applyBorder="1"/>
    <xf numFmtId="164" fontId="0" fillId="0" borderId="2" xfId="1" applyNumberFormat="1" applyFont="1" applyBorder="1"/>
    <xf numFmtId="1" fontId="0" fillId="0" borderId="6" xfId="0" applyNumberFormat="1" applyBorder="1"/>
    <xf numFmtId="1" fontId="0" fillId="0" borderId="8" xfId="0" applyNumberFormat="1" applyBorder="1"/>
    <xf numFmtId="164" fontId="0" fillId="0" borderId="9" xfId="1" applyNumberFormat="1" applyFont="1" applyBorder="1"/>
    <xf numFmtId="164" fontId="2" fillId="0" borderId="14" xfId="0" applyNumberFormat="1" applyFont="1" applyFill="1" applyBorder="1"/>
    <xf numFmtId="164" fontId="2" fillId="0" borderId="0" xfId="1" applyNumberFormat="1" applyFont="1" applyBorder="1"/>
    <xf numFmtId="43" fontId="2" fillId="0" borderId="0" xfId="1" applyNumberFormat="1" applyFont="1" applyBorder="1"/>
    <xf numFmtId="164" fontId="2" fillId="0" borderId="2" xfId="1" applyNumberFormat="1" applyFont="1" applyBorder="1"/>
    <xf numFmtId="43" fontId="2" fillId="0" borderId="2" xfId="1" applyNumberFormat="1" applyFont="1" applyBorder="1"/>
    <xf numFmtId="0" fontId="2" fillId="0" borderId="2" xfId="0" applyFont="1" applyBorder="1"/>
    <xf numFmtId="0" fontId="2" fillId="0" borderId="9" xfId="0" applyFont="1" applyBorder="1"/>
    <xf numFmtId="1" fontId="2" fillId="0" borderId="7" xfId="0" applyNumberFormat="1" applyFont="1" applyBorder="1"/>
    <xf numFmtId="0" fontId="0" fillId="2" borderId="0" xfId="0" applyFill="1" applyBorder="1" applyAlignment="1">
      <alignment horizontal="left"/>
    </xf>
    <xf numFmtId="0" fontId="0" fillId="0" borderId="0" xfId="0" applyAlignment="1">
      <alignment vertical="top" wrapText="1"/>
    </xf>
    <xf numFmtId="0" fontId="2" fillId="2" borderId="12" xfId="0" applyFont="1" applyFill="1" applyBorder="1"/>
    <xf numFmtId="0" fontId="2" fillId="2" borderId="5" xfId="0" applyFont="1" applyFill="1" applyBorder="1"/>
    <xf numFmtId="0" fontId="0" fillId="2" borderId="7" xfId="0" applyFill="1" applyBorder="1"/>
    <xf numFmtId="0" fontId="2" fillId="2" borderId="7" xfId="0" applyFont="1" applyFill="1" applyBorder="1"/>
    <xf numFmtId="9" fontId="0" fillId="2" borderId="7" xfId="2" applyFont="1" applyFill="1" applyBorder="1"/>
    <xf numFmtId="9" fontId="0" fillId="2" borderId="7" xfId="2" applyNumberFormat="1" applyFont="1" applyFill="1" applyBorder="1"/>
    <xf numFmtId="0" fontId="0" fillId="2" borderId="7" xfId="2" applyNumberFormat="1" applyFont="1" applyFill="1" applyBorder="1"/>
    <xf numFmtId="0" fontId="2" fillId="0" borderId="13" xfId="0" applyFont="1" applyBorder="1" applyAlignment="1">
      <alignment horizontal="left" vertical="center" wrapText="1"/>
    </xf>
    <xf numFmtId="0" fontId="0" fillId="2" borderId="0" xfId="0" applyFill="1" applyBorder="1"/>
    <xf numFmtId="0" fontId="0" fillId="2" borderId="14" xfId="0" applyFill="1" applyBorder="1"/>
    <xf numFmtId="0" fontId="2" fillId="0" borderId="13" xfId="0" applyFont="1" applyBorder="1"/>
    <xf numFmtId="0" fontId="2" fillId="0" borderId="20" xfId="0" applyFont="1" applyBorder="1"/>
    <xf numFmtId="0" fontId="0" fillId="2" borderId="13" xfId="0" applyFill="1" applyBorder="1"/>
    <xf numFmtId="0" fontId="2" fillId="2" borderId="22" xfId="0" applyFont="1" applyFill="1" applyBorder="1"/>
    <xf numFmtId="0" fontId="2" fillId="2" borderId="0" xfId="0" applyFont="1" applyFill="1" applyBorder="1"/>
    <xf numFmtId="0" fontId="2" fillId="2" borderId="13" xfId="0" applyFont="1" applyFill="1" applyBorder="1"/>
    <xf numFmtId="43" fontId="0" fillId="2" borderId="0" xfId="0" applyNumberFormat="1" applyFill="1" applyBorder="1"/>
    <xf numFmtId="0" fontId="0" fillId="2" borderId="15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0" xfId="0" applyFill="1"/>
    <xf numFmtId="0" fontId="0" fillId="2" borderId="3" xfId="0" applyFill="1" applyBorder="1"/>
    <xf numFmtId="164" fontId="1" fillId="0" borderId="0" xfId="4" applyNumberFormat="1" applyFont="1" applyFill="1" applyBorder="1"/>
    <xf numFmtId="164" fontId="5" fillId="0" borderId="0" xfId="4" applyNumberFormat="1" applyFont="1" applyFill="1" applyBorder="1"/>
    <xf numFmtId="0" fontId="0" fillId="0" borderId="0" xfId="0" applyFill="1" applyBorder="1"/>
    <xf numFmtId="0" fontId="0" fillId="2" borderId="29" xfId="0" applyFill="1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/>
    <xf numFmtId="3" fontId="7" fillId="0" borderId="3" xfId="0" applyNumberFormat="1" applyFont="1" applyFill="1" applyBorder="1"/>
    <xf numFmtId="164" fontId="0" fillId="0" borderId="3" xfId="1" applyNumberFormat="1" applyFont="1" applyFill="1" applyBorder="1"/>
    <xf numFmtId="164" fontId="0" fillId="0" borderId="3" xfId="0" applyNumberFormat="1" applyFill="1" applyBorder="1"/>
    <xf numFmtId="0" fontId="0" fillId="0" borderId="3" xfId="0" applyBorder="1"/>
    <xf numFmtId="0" fontId="5" fillId="0" borderId="32" xfId="0" applyFont="1" applyFill="1" applyBorder="1"/>
    <xf numFmtId="0" fontId="5" fillId="2" borderId="13" xfId="0" applyFont="1" applyFill="1" applyBorder="1"/>
    <xf numFmtId="164" fontId="0" fillId="0" borderId="0" xfId="1" applyNumberFormat="1" applyFont="1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6" xfId="4" applyNumberFormat="1" applyFont="1" applyFill="1" applyBorder="1"/>
    <xf numFmtId="164" fontId="1" fillId="0" borderId="7" xfId="4" applyNumberFormat="1" applyFont="1" applyFill="1" applyBorder="1"/>
    <xf numFmtId="164" fontId="5" fillId="0" borderId="6" xfId="4" applyNumberFormat="1" applyFont="1" applyFill="1" applyBorder="1"/>
    <xf numFmtId="164" fontId="5" fillId="0" borderId="8" xfId="4" applyNumberFormat="1" applyFont="1" applyFill="1" applyBorder="1"/>
    <xf numFmtId="164" fontId="5" fillId="0" borderId="2" xfId="4" applyNumberFormat="1" applyFont="1" applyFill="1" applyBorder="1"/>
    <xf numFmtId="164" fontId="1" fillId="0" borderId="9" xfId="4" applyNumberFormat="1" applyFont="1" applyFill="1" applyBorder="1"/>
    <xf numFmtId="164" fontId="0" fillId="0" borderId="6" xfId="4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1" fillId="0" borderId="6" xfId="4" applyNumberFormat="1" applyFont="1" applyFill="1" applyBorder="1"/>
    <xf numFmtId="164" fontId="0" fillId="0" borderId="7" xfId="1" applyNumberFormat="1" applyFont="1" applyFill="1" applyBorder="1" applyAlignment="1">
      <alignment horizontal="center"/>
    </xf>
    <xf numFmtId="164" fontId="0" fillId="0" borderId="7" xfId="1" applyNumberFormat="1" applyFont="1" applyFill="1" applyBorder="1"/>
    <xf numFmtId="164" fontId="0" fillId="0" borderId="9" xfId="1" applyNumberFormat="1" applyFont="1" applyFill="1" applyBorder="1"/>
    <xf numFmtId="0" fontId="0" fillId="0" borderId="24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/>
    </xf>
    <xf numFmtId="1" fontId="0" fillId="0" borderId="31" xfId="0" applyNumberFormat="1" applyFill="1" applyBorder="1"/>
    <xf numFmtId="1" fontId="0" fillId="0" borderId="35" xfId="0" applyNumberFormat="1" applyFill="1" applyBorder="1"/>
    <xf numFmtId="0" fontId="2" fillId="0" borderId="36" xfId="0" applyFont="1" applyFill="1" applyBorder="1"/>
    <xf numFmtId="0" fontId="6" fillId="0" borderId="27" xfId="3" applyFont="1" applyFill="1" applyBorder="1" applyAlignment="1">
      <alignment vertical="center"/>
    </xf>
    <xf numFmtId="0" fontId="2" fillId="0" borderId="27" xfId="0" applyFont="1" applyFill="1" applyBorder="1"/>
    <xf numFmtId="0" fontId="0" fillId="0" borderId="37" xfId="0" applyFill="1" applyBorder="1"/>
    <xf numFmtId="0" fontId="0" fillId="0" borderId="33" xfId="0" applyFill="1" applyBorder="1"/>
    <xf numFmtId="0" fontId="0" fillId="0" borderId="32" xfId="0" applyFill="1" applyBorder="1"/>
    <xf numFmtId="0" fontId="5" fillId="0" borderId="38" xfId="0" applyFont="1" applyFill="1" applyBorder="1"/>
    <xf numFmtId="0" fontId="5" fillId="2" borderId="13" xfId="0" applyFont="1" applyFill="1" applyBorder="1" applyAlignment="1">
      <alignment horizontal="left" wrapText="1"/>
    </xf>
    <xf numFmtId="0" fontId="6" fillId="2" borderId="13" xfId="0" applyFont="1" applyFill="1" applyBorder="1"/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49" fontId="0" fillId="0" borderId="29" xfId="0" applyNumberFormat="1" applyFill="1" applyBorder="1"/>
    <xf numFmtId="1" fontId="0" fillId="0" borderId="30" xfId="0" applyNumberFormat="1" applyFill="1" applyBorder="1"/>
    <xf numFmtId="9" fontId="0" fillId="0" borderId="3" xfId="0" applyNumberFormat="1" applyBorder="1"/>
    <xf numFmtId="0" fontId="0" fillId="0" borderId="39" xfId="0" applyBorder="1" applyAlignment="1">
      <alignment horizontal="left" vertical="center" wrapText="1"/>
    </xf>
    <xf numFmtId="0" fontId="0" fillId="0" borderId="29" xfId="0" applyBorder="1"/>
    <xf numFmtId="9" fontId="0" fillId="2" borderId="0" xfId="0" applyNumberFormat="1" applyFill="1" applyBorder="1"/>
    <xf numFmtId="0" fontId="0" fillId="2" borderId="18" xfId="0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/>
    <xf numFmtId="0" fontId="8" fillId="2" borderId="0" xfId="5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4" fontId="0" fillId="0" borderId="14" xfId="1" applyNumberFormat="1" applyFont="1" applyBorder="1"/>
    <xf numFmtId="164" fontId="0" fillId="0" borderId="42" xfId="1" applyNumberFormat="1" applyFont="1" applyBorder="1"/>
    <xf numFmtId="164" fontId="0" fillId="2" borderId="0" xfId="1" applyNumberFormat="1" applyFont="1" applyFill="1" applyBorder="1"/>
    <xf numFmtId="9" fontId="0" fillId="2" borderId="16" xfId="0" applyNumberFormat="1" applyFill="1" applyBorder="1"/>
    <xf numFmtId="165" fontId="0" fillId="0" borderId="0" xfId="0" applyNumberFormat="1" applyFill="1" applyBorder="1"/>
    <xf numFmtId="164" fontId="0" fillId="2" borderId="14" xfId="0" applyNumberFormat="1" applyFill="1" applyBorder="1"/>
    <xf numFmtId="0" fontId="2" fillId="2" borderId="43" xfId="0" applyFont="1" applyFill="1" applyBorder="1" applyAlignment="1"/>
    <xf numFmtId="0" fontId="2" fillId="2" borderId="44" xfId="0" applyFont="1" applyFill="1" applyBorder="1" applyAlignment="1"/>
    <xf numFmtId="10" fontId="0" fillId="2" borderId="45" xfId="2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6" xfId="1" applyNumberFormat="1" applyFont="1" applyBorder="1"/>
    <xf numFmtId="164" fontId="2" fillId="0" borderId="7" xfId="1" applyNumberFormat="1" applyFon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2" fillId="0" borderId="9" xfId="1" applyNumberFormat="1" applyFont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0" fillId="0" borderId="6" xfId="1" applyNumberFormat="1" applyFont="1" applyFill="1" applyBorder="1"/>
    <xf numFmtId="164" fontId="2" fillId="0" borderId="7" xfId="1" applyNumberFormat="1" applyFont="1" applyFill="1" applyBorder="1"/>
    <xf numFmtId="164" fontId="0" fillId="0" borderId="6" xfId="0" applyNumberFormat="1" applyFill="1" applyBorder="1"/>
    <xf numFmtId="164" fontId="0" fillId="0" borderId="8" xfId="0" applyNumberFormat="1" applyFill="1" applyBorder="1"/>
    <xf numFmtId="164" fontId="0" fillId="0" borderId="2" xfId="0" applyNumberFormat="1" applyFill="1" applyBorder="1"/>
    <xf numFmtId="164" fontId="2" fillId="0" borderId="9" xfId="1" applyNumberFormat="1" applyFont="1" applyFill="1" applyBorder="1"/>
    <xf numFmtId="0" fontId="0" fillId="0" borderId="39" xfId="0" applyBorder="1"/>
    <xf numFmtId="0" fontId="2" fillId="0" borderId="33" xfId="0" applyFont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32" xfId="0" applyFont="1" applyBorder="1"/>
    <xf numFmtId="0" fontId="2" fillId="0" borderId="38" xfId="0" applyFont="1" applyBorder="1"/>
    <xf numFmtId="164" fontId="2" fillId="0" borderId="42" xfId="0" applyNumberFormat="1" applyFont="1" applyFill="1" applyBorder="1"/>
    <xf numFmtId="0" fontId="0" fillId="2" borderId="13" xfId="0" applyFont="1" applyFill="1" applyBorder="1"/>
    <xf numFmtId="0" fontId="0" fillId="2" borderId="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4" xfId="0" applyBorder="1" applyAlignment="1">
      <alignment horizontal="left" vertical="center" wrapText="1"/>
    </xf>
    <xf numFmtId="0" fontId="0" fillId="2" borderId="29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9" fontId="0" fillId="2" borderId="3" xfId="2" applyFont="1" applyFill="1" applyBorder="1"/>
    <xf numFmtId="0" fontId="0" fillId="2" borderId="29" xfId="0" applyNumberFormat="1" applyFill="1" applyBorder="1"/>
    <xf numFmtId="0" fontId="0" fillId="2" borderId="0" xfId="0" applyFill="1" applyBorder="1" applyAlignment="1"/>
    <xf numFmtId="0" fontId="2" fillId="2" borderId="2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2" borderId="0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</cellXfs>
  <cellStyles count="6">
    <cellStyle name="Comma" xfId="1" builtinId="3"/>
    <cellStyle name="Comma 2" xfId="4" xr:uid="{3496BB91-7935-49F0-BE55-F76BD3134D38}"/>
    <cellStyle name="Hyperlink" xfId="5" builtinId="8"/>
    <cellStyle name="Normal" xfId="0" builtinId="0"/>
    <cellStyle name="Normal 2" xfId="3" xr:uid="{4A6C305C-040F-412D-A0FD-762861C41C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BO Default">
  <a:themeElements>
    <a:clrScheme name="PBO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4582"/>
      </a:accent1>
      <a:accent2>
        <a:srgbClr val="DABA7A"/>
      </a:accent2>
      <a:accent3>
        <a:srgbClr val="1D2654"/>
      </a:accent3>
      <a:accent4>
        <a:srgbClr val="AE835B"/>
      </a:accent4>
      <a:accent5>
        <a:srgbClr val="8E6B82"/>
      </a:accent5>
      <a:accent6>
        <a:srgbClr val="96AB65"/>
      </a:accent6>
      <a:hlink>
        <a:srgbClr val="6381C1"/>
      </a:hlink>
      <a:folHlink>
        <a:srgbClr val="EFCD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anada.ca/en/treasury-board-secretariat/services/pay/rates-pay/rates-pay-unrepresented-senior-excluded-employees.html" TargetMode="External"/><Relationship Id="rId1" Type="http://schemas.openxmlformats.org/officeDocument/2006/relationships/hyperlink" Target="https://www.tbs-sct.gc.ca/agreements-conventions/view-visualiser-eng.aspx?id=1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556F-3186-462A-B879-A6D122F9255C}">
  <sheetPr>
    <tabColor theme="9"/>
  </sheetPr>
  <dimension ref="A1:W24"/>
  <sheetViews>
    <sheetView workbookViewId="0">
      <selection activeCell="C14" sqref="C14"/>
    </sheetView>
  </sheetViews>
  <sheetFormatPr defaultRowHeight="15" x14ac:dyDescent="0.25"/>
  <cols>
    <col min="1" max="1" width="10.5703125" customWidth="1"/>
    <col min="2" max="20" width="15.5703125" customWidth="1"/>
  </cols>
  <sheetData>
    <row r="1" spans="1:23" ht="51.75" customHeight="1" x14ac:dyDescent="0.25">
      <c r="A1" s="35" t="s">
        <v>0</v>
      </c>
      <c r="B1" s="111" t="s">
        <v>11</v>
      </c>
      <c r="C1" s="111" t="s">
        <v>12</v>
      </c>
      <c r="D1" s="111" t="s">
        <v>109</v>
      </c>
      <c r="E1" s="112" t="s">
        <v>13</v>
      </c>
      <c r="F1" s="68" t="s">
        <v>14</v>
      </c>
      <c r="G1" s="69" t="s">
        <v>15</v>
      </c>
      <c r="H1" s="70" t="s">
        <v>16</v>
      </c>
      <c r="I1" s="68" t="s">
        <v>17</v>
      </c>
      <c r="J1" s="69" t="s">
        <v>18</v>
      </c>
      <c r="K1" s="70" t="s">
        <v>19</v>
      </c>
      <c r="L1" s="68" t="s">
        <v>20</v>
      </c>
      <c r="M1" s="69" t="s">
        <v>21</v>
      </c>
      <c r="N1" s="70" t="s">
        <v>22</v>
      </c>
      <c r="O1" s="68" t="s">
        <v>23</v>
      </c>
      <c r="P1" s="69" t="s">
        <v>24</v>
      </c>
      <c r="Q1" s="70" t="s">
        <v>25</v>
      </c>
      <c r="R1" s="68" t="s">
        <v>26</v>
      </c>
      <c r="S1" s="69" t="s">
        <v>27</v>
      </c>
      <c r="T1" s="70" t="s">
        <v>28</v>
      </c>
      <c r="U1" s="36"/>
      <c r="V1" s="36"/>
      <c r="W1" s="37"/>
    </row>
    <row r="2" spans="1:23" x14ac:dyDescent="0.25">
      <c r="A2" s="38" t="s">
        <v>1</v>
      </c>
      <c r="B2" s="19">
        <f>C2*1.27</f>
        <v>61854394.00531213</v>
      </c>
      <c r="C2" s="19">
        <f t="shared" ref="C2:C10" si="0">SUM(H2,K2,N2,Q2,T2)</f>
        <v>48704247.248277269</v>
      </c>
      <c r="D2" s="19">
        <f>B2/300000</f>
        <v>206.18131335104044</v>
      </c>
      <c r="E2" s="25">
        <f>SUM(F2,I2,L2,O2,R2)</f>
        <v>750</v>
      </c>
      <c r="F2" s="12">
        <f>ROUND(($C$14-1)*$B$18,0)</f>
        <v>361</v>
      </c>
      <c r="G2" s="7">
        <f>Salaries!F9</f>
        <v>58773.676610929979</v>
      </c>
      <c r="H2" s="8">
        <f>F2*G2</f>
        <v>21217297.256545722</v>
      </c>
      <c r="I2" s="15">
        <f>ROUND(($C$14-1)*$B$19,0)</f>
        <v>243</v>
      </c>
      <c r="J2" s="7">
        <f>Salaries!J9</f>
        <v>64254.773760025062</v>
      </c>
      <c r="K2" s="8">
        <f>I2*J2</f>
        <v>15613910.02368609</v>
      </c>
      <c r="L2" s="15">
        <f>ROUND(($C$14-1)*$B$20,0)</f>
        <v>121</v>
      </c>
      <c r="M2" s="7">
        <f>Salaries!N9</f>
        <v>75308.006936971331</v>
      </c>
      <c r="N2" s="8">
        <f>L2*M2</f>
        <v>9112268.8393735308</v>
      </c>
      <c r="O2" s="15">
        <f>ROUND(($C$14-1)*$B$21,0)</f>
        <v>24</v>
      </c>
      <c r="P2" s="7">
        <f>Salaries!T9</f>
        <v>108882.06803904808</v>
      </c>
      <c r="Q2" s="8">
        <f>O2*P2</f>
        <v>2613169.6329371538</v>
      </c>
      <c r="R2" s="1">
        <f>1</f>
        <v>1</v>
      </c>
      <c r="S2" s="7">
        <f>Salaries!W9</f>
        <v>147601.4957347755</v>
      </c>
      <c r="T2" s="8">
        <f>R2*S2</f>
        <v>147601.4957347755</v>
      </c>
      <c r="U2" s="36"/>
      <c r="V2" s="36"/>
      <c r="W2" s="37"/>
    </row>
    <row r="3" spans="1:23" x14ac:dyDescent="0.25">
      <c r="A3" s="38" t="s">
        <v>2</v>
      </c>
      <c r="B3" s="19">
        <f t="shared" ref="B3:B11" si="1">C3*1.27</f>
        <v>62627573.930378534</v>
      </c>
      <c r="C3" s="19">
        <f t="shared" si="0"/>
        <v>49313050.338880733</v>
      </c>
      <c r="D3" s="19">
        <f t="shared" ref="D3:D11" si="2">B3/300000</f>
        <v>208.75857976792844</v>
      </c>
      <c r="E3" s="6">
        <f t="shared" ref="E3:E11" si="3">SUM(F3,I3,L3,O3,R3)</f>
        <v>750</v>
      </c>
      <c r="F3" s="15">
        <f t="shared" ref="F3:F11" si="4">ROUND(($C$14-1)*$B$18,0)</f>
        <v>361</v>
      </c>
      <c r="G3" s="7">
        <f>Salaries!F10</f>
        <v>59508.347568566598</v>
      </c>
      <c r="H3" s="8">
        <f t="shared" ref="H3:H11" si="5">F3*G3</f>
        <v>21482513.47225254</v>
      </c>
      <c r="I3" s="15">
        <f t="shared" ref="I3:I11" si="6">ROUND(($C$14-1)*$B$19,0)</f>
        <v>243</v>
      </c>
      <c r="J3" s="7">
        <f>Salaries!J10</f>
        <v>65057.958432025371</v>
      </c>
      <c r="K3" s="8">
        <f t="shared" ref="K3:K11" si="7">I3*J3</f>
        <v>15809083.898982165</v>
      </c>
      <c r="L3" s="15">
        <f t="shared" ref="L3:L11" si="8">ROUND(($C$14-1)*$B$20,0)</f>
        <v>121</v>
      </c>
      <c r="M3" s="7">
        <f>Salaries!N10</f>
        <v>76249.357023683478</v>
      </c>
      <c r="N3" s="8">
        <f t="shared" ref="N3:N11" si="9">L3*M3</f>
        <v>9226172.1998657007</v>
      </c>
      <c r="O3" s="15">
        <f t="shared" ref="O3:O11" si="10">ROUND(($C$14-1)*$B$21,0)</f>
        <v>24</v>
      </c>
      <c r="P3" s="7">
        <f>Salaries!T10</f>
        <v>110243.09388953619</v>
      </c>
      <c r="Q3" s="8">
        <f t="shared" ref="Q3:Q11" si="11">O3*P3</f>
        <v>2645834.2533488683</v>
      </c>
      <c r="R3" s="1">
        <f>1</f>
        <v>1</v>
      </c>
      <c r="S3" s="7">
        <f>Salaries!W10</f>
        <v>149446.51443146018</v>
      </c>
      <c r="T3" s="8">
        <f t="shared" ref="T3:T11" si="12">R3*S3</f>
        <v>149446.51443146018</v>
      </c>
      <c r="U3" s="36"/>
      <c r="V3" s="36"/>
      <c r="W3" s="37"/>
    </row>
    <row r="4" spans="1:23" x14ac:dyDescent="0.25">
      <c r="A4" s="38" t="s">
        <v>3</v>
      </c>
      <c r="B4" s="19">
        <f t="shared" si="1"/>
        <v>63410418.604508258</v>
      </c>
      <c r="C4" s="19">
        <f t="shared" si="0"/>
        <v>49929463.468116738</v>
      </c>
      <c r="D4" s="19">
        <f t="shared" si="2"/>
        <v>211.36806201502753</v>
      </c>
      <c r="E4" s="6">
        <f t="shared" si="3"/>
        <v>750</v>
      </c>
      <c r="F4" s="15">
        <f t="shared" si="4"/>
        <v>361</v>
      </c>
      <c r="G4" s="7">
        <f>Salaries!F11</f>
        <v>60252.201913173674</v>
      </c>
      <c r="H4" s="8">
        <f t="shared" si="5"/>
        <v>21751044.890655696</v>
      </c>
      <c r="I4" s="15">
        <f t="shared" si="6"/>
        <v>243</v>
      </c>
      <c r="J4" s="7">
        <f>Salaries!J11</f>
        <v>65871.182912425676</v>
      </c>
      <c r="K4" s="8">
        <f t="shared" si="7"/>
        <v>16006697.44771944</v>
      </c>
      <c r="L4" s="15">
        <f t="shared" si="8"/>
        <v>121</v>
      </c>
      <c r="M4" s="7">
        <f>Salaries!N11</f>
        <v>77202.473986479527</v>
      </c>
      <c r="N4" s="8">
        <f t="shared" si="9"/>
        <v>9341499.3523640223</v>
      </c>
      <c r="O4" s="15">
        <f t="shared" si="10"/>
        <v>24</v>
      </c>
      <c r="P4" s="7">
        <f>Salaries!T11</f>
        <v>111621.13256315541</v>
      </c>
      <c r="Q4" s="8">
        <f t="shared" si="11"/>
        <v>2678907.18151573</v>
      </c>
      <c r="R4" s="1">
        <f>1</f>
        <v>1</v>
      </c>
      <c r="S4" s="7">
        <f>Salaries!W11</f>
        <v>151314.59586185345</v>
      </c>
      <c r="T4" s="8">
        <f t="shared" si="12"/>
        <v>151314.59586185345</v>
      </c>
      <c r="U4" s="36"/>
      <c r="V4" s="36"/>
      <c r="W4" s="37"/>
    </row>
    <row r="5" spans="1:23" x14ac:dyDescent="0.25">
      <c r="A5" s="38" t="s">
        <v>4</v>
      </c>
      <c r="B5" s="19">
        <f t="shared" si="1"/>
        <v>64203048.837064616</v>
      </c>
      <c r="C5" s="19">
        <f t="shared" si="0"/>
        <v>50553581.761468202</v>
      </c>
      <c r="D5" s="19">
        <f t="shared" si="2"/>
        <v>214.01016279021539</v>
      </c>
      <c r="E5" s="6">
        <f t="shared" si="3"/>
        <v>750</v>
      </c>
      <c r="F5" s="15">
        <f t="shared" si="4"/>
        <v>361</v>
      </c>
      <c r="G5" s="7">
        <f>Salaries!F12</f>
        <v>61005.354437088354</v>
      </c>
      <c r="H5" s="8">
        <f t="shared" si="5"/>
        <v>22022932.951788895</v>
      </c>
      <c r="I5" s="15">
        <f t="shared" si="6"/>
        <v>243</v>
      </c>
      <c r="J5" s="7">
        <f>Salaries!J12</f>
        <v>66694.572698830991</v>
      </c>
      <c r="K5" s="8">
        <f t="shared" si="7"/>
        <v>16206781.165815931</v>
      </c>
      <c r="L5" s="15">
        <f t="shared" si="8"/>
        <v>121</v>
      </c>
      <c r="M5" s="7">
        <f>Salaries!N12</f>
        <v>78167.504911310505</v>
      </c>
      <c r="N5" s="8">
        <f t="shared" si="9"/>
        <v>9458268.0942685716</v>
      </c>
      <c r="O5" s="15">
        <f t="shared" si="10"/>
        <v>24</v>
      </c>
      <c r="P5" s="7">
        <f>Salaries!T12</f>
        <v>113016.39672019481</v>
      </c>
      <c r="Q5" s="8">
        <f t="shared" si="11"/>
        <v>2712393.5212846752</v>
      </c>
      <c r="R5" s="1">
        <f>1</f>
        <v>1</v>
      </c>
      <c r="S5" s="7">
        <f>Salaries!W12</f>
        <v>153206.0283101266</v>
      </c>
      <c r="T5" s="8">
        <f t="shared" si="12"/>
        <v>153206.0283101266</v>
      </c>
      <c r="U5" s="36"/>
      <c r="V5" s="36"/>
      <c r="W5" s="37"/>
    </row>
    <row r="6" spans="1:23" x14ac:dyDescent="0.25">
      <c r="A6" s="38" t="s">
        <v>5</v>
      </c>
      <c r="B6" s="19">
        <f t="shared" si="1"/>
        <v>65005586.947527923</v>
      </c>
      <c r="C6" s="19">
        <f t="shared" si="0"/>
        <v>51185501.533486553</v>
      </c>
      <c r="D6" s="19">
        <f t="shared" si="2"/>
        <v>216.68528982509307</v>
      </c>
      <c r="E6" s="6">
        <f t="shared" si="3"/>
        <v>750</v>
      </c>
      <c r="F6" s="15">
        <f t="shared" si="4"/>
        <v>361</v>
      </c>
      <c r="G6" s="7">
        <f>Salaries!F13</f>
        <v>61767.921367551957</v>
      </c>
      <c r="H6" s="8">
        <f t="shared" si="5"/>
        <v>22298219.613686256</v>
      </c>
      <c r="I6" s="15">
        <f t="shared" si="6"/>
        <v>243</v>
      </c>
      <c r="J6" s="7">
        <f>Salaries!J13</f>
        <v>67528.254857566382</v>
      </c>
      <c r="K6" s="8">
        <f t="shared" si="7"/>
        <v>16409365.930388631</v>
      </c>
      <c r="L6" s="15">
        <f t="shared" si="8"/>
        <v>121</v>
      </c>
      <c r="M6" s="7">
        <f>Salaries!N13</f>
        <v>79144.598722701892</v>
      </c>
      <c r="N6" s="8">
        <f t="shared" si="9"/>
        <v>9576496.445446929</v>
      </c>
      <c r="O6" s="15">
        <f t="shared" si="10"/>
        <v>24</v>
      </c>
      <c r="P6" s="7">
        <f>Salaries!T13</f>
        <v>114429.10167919725</v>
      </c>
      <c r="Q6" s="8">
        <f t="shared" si="11"/>
        <v>2746298.4403007338</v>
      </c>
      <c r="R6" s="1">
        <f>1</f>
        <v>1</v>
      </c>
      <c r="S6" s="7">
        <f>Salaries!W13</f>
        <v>155121.1036640032</v>
      </c>
      <c r="T6" s="8">
        <f t="shared" si="12"/>
        <v>155121.1036640032</v>
      </c>
      <c r="U6" s="36"/>
      <c r="V6" s="36"/>
      <c r="W6" s="37"/>
    </row>
    <row r="7" spans="1:23" x14ac:dyDescent="0.25">
      <c r="A7" s="38" t="s">
        <v>6</v>
      </c>
      <c r="B7" s="19">
        <f t="shared" si="1"/>
        <v>65818156.784372017</v>
      </c>
      <c r="C7" s="19">
        <f t="shared" si="0"/>
        <v>51825320.302655131</v>
      </c>
      <c r="D7" s="19">
        <f t="shared" si="2"/>
        <v>219.39385594790673</v>
      </c>
      <c r="E7" s="6">
        <f t="shared" si="3"/>
        <v>750</v>
      </c>
      <c r="F7" s="15">
        <f t="shared" si="4"/>
        <v>361</v>
      </c>
      <c r="G7" s="7">
        <f>Salaries!F14</f>
        <v>62540.020384646348</v>
      </c>
      <c r="H7" s="8">
        <f t="shared" si="5"/>
        <v>22576947.35885733</v>
      </c>
      <c r="I7" s="15">
        <f t="shared" si="6"/>
        <v>243</v>
      </c>
      <c r="J7" s="7">
        <f>Salaries!J14</f>
        <v>68372.35804328596</v>
      </c>
      <c r="K7" s="8">
        <f t="shared" si="7"/>
        <v>16614483.004518488</v>
      </c>
      <c r="L7" s="15">
        <f t="shared" si="8"/>
        <v>121</v>
      </c>
      <c r="M7" s="7">
        <f>Salaries!N14</f>
        <v>80133.906206735657</v>
      </c>
      <c r="N7" s="8">
        <f t="shared" si="9"/>
        <v>9696202.6510150153</v>
      </c>
      <c r="O7" s="15">
        <f t="shared" si="10"/>
        <v>24</v>
      </c>
      <c r="P7" s="7">
        <f>Salaries!T14</f>
        <v>115859.46545018721</v>
      </c>
      <c r="Q7" s="8">
        <f t="shared" si="11"/>
        <v>2780627.1708044931</v>
      </c>
      <c r="R7" s="1">
        <f>1</f>
        <v>1</v>
      </c>
      <c r="S7" s="7">
        <f>Salaries!W14</f>
        <v>157060.11745980321</v>
      </c>
      <c r="T7" s="8">
        <f t="shared" si="12"/>
        <v>157060.11745980321</v>
      </c>
      <c r="U7" s="36"/>
      <c r="V7" s="36"/>
      <c r="W7" s="37"/>
    </row>
    <row r="8" spans="1:23" x14ac:dyDescent="0.25">
      <c r="A8" s="38" t="s">
        <v>7</v>
      </c>
      <c r="B8" s="19">
        <f t="shared" si="1"/>
        <v>66640883.744176663</v>
      </c>
      <c r="C8" s="19">
        <f t="shared" si="0"/>
        <v>52473136.806438319</v>
      </c>
      <c r="D8" s="19">
        <f t="shared" si="2"/>
        <v>222.13627914725555</v>
      </c>
      <c r="E8" s="6">
        <f t="shared" si="3"/>
        <v>750</v>
      </c>
      <c r="F8" s="15">
        <f t="shared" si="4"/>
        <v>361</v>
      </c>
      <c r="G8" s="7">
        <f>Salaries!F15</f>
        <v>63321.770639454422</v>
      </c>
      <c r="H8" s="8">
        <f t="shared" si="5"/>
        <v>22859159.200843047</v>
      </c>
      <c r="I8" s="15">
        <f t="shared" si="6"/>
        <v>243</v>
      </c>
      <c r="J8" s="7">
        <f>Salaries!J15</f>
        <v>69227.012518827032</v>
      </c>
      <c r="K8" s="8">
        <f t="shared" si="7"/>
        <v>16822164.042074967</v>
      </c>
      <c r="L8" s="15">
        <f t="shared" si="8"/>
        <v>121</v>
      </c>
      <c r="M8" s="7">
        <f>Salaries!N15</f>
        <v>81135.58003431985</v>
      </c>
      <c r="N8" s="8">
        <f t="shared" si="9"/>
        <v>9817405.1841527019</v>
      </c>
      <c r="O8" s="15">
        <f t="shared" si="10"/>
        <v>24</v>
      </c>
      <c r="P8" s="7">
        <f>Salaries!T15</f>
        <v>117307.70876831457</v>
      </c>
      <c r="Q8" s="8">
        <f t="shared" si="11"/>
        <v>2815385.0104395496</v>
      </c>
      <c r="R8" s="1">
        <f>1</f>
        <v>1</v>
      </c>
      <c r="S8" s="7">
        <f>Salaries!W15</f>
        <v>159023.36892805074</v>
      </c>
      <c r="T8" s="8">
        <f t="shared" si="12"/>
        <v>159023.36892805074</v>
      </c>
      <c r="U8" s="36"/>
      <c r="V8" s="36"/>
      <c r="W8" s="37"/>
    </row>
    <row r="9" spans="1:23" x14ac:dyDescent="0.25">
      <c r="A9" s="38" t="s">
        <v>8</v>
      </c>
      <c r="B9" s="19">
        <f t="shared" si="1"/>
        <v>67473894.790978864</v>
      </c>
      <c r="C9" s="19">
        <f t="shared" si="0"/>
        <v>53129051.016518794</v>
      </c>
      <c r="D9" s="19">
        <f t="shared" si="2"/>
        <v>224.91298263659621</v>
      </c>
      <c r="E9" s="6">
        <f t="shared" si="3"/>
        <v>750</v>
      </c>
      <c r="F9" s="15">
        <f t="shared" si="4"/>
        <v>361</v>
      </c>
      <c r="G9" s="7">
        <f>Salaries!F16</f>
        <v>64113.292772447603</v>
      </c>
      <c r="H9" s="8">
        <f t="shared" si="5"/>
        <v>23144898.690853585</v>
      </c>
      <c r="I9" s="15">
        <f t="shared" si="6"/>
        <v>243</v>
      </c>
      <c r="J9" s="7">
        <f>Salaries!J16</f>
        <v>70092.350175312356</v>
      </c>
      <c r="K9" s="8">
        <f t="shared" si="7"/>
        <v>17032441.092600904</v>
      </c>
      <c r="L9" s="15">
        <f t="shared" si="8"/>
        <v>121</v>
      </c>
      <c r="M9" s="7">
        <f>Salaries!N16</f>
        <v>82149.77478474885</v>
      </c>
      <c r="N9" s="8">
        <f t="shared" si="9"/>
        <v>9940122.7489546109</v>
      </c>
      <c r="O9" s="15">
        <f t="shared" si="10"/>
        <v>24</v>
      </c>
      <c r="P9" s="7">
        <f>Salaries!T16</f>
        <v>118774.05512791849</v>
      </c>
      <c r="Q9" s="8">
        <f t="shared" si="11"/>
        <v>2850577.3230700437</v>
      </c>
      <c r="R9" s="1">
        <f>1</f>
        <v>1</v>
      </c>
      <c r="S9" s="7">
        <f>Salaries!W16</f>
        <v>161011.16103965137</v>
      </c>
      <c r="T9" s="8">
        <f t="shared" si="12"/>
        <v>161011.16103965137</v>
      </c>
      <c r="U9" s="36"/>
      <c r="V9" s="36"/>
      <c r="W9" s="37"/>
    </row>
    <row r="10" spans="1:23" x14ac:dyDescent="0.25">
      <c r="A10" s="38" t="s">
        <v>9</v>
      </c>
      <c r="B10" s="19">
        <f t="shared" si="1"/>
        <v>68317318.475866094</v>
      </c>
      <c r="C10" s="19">
        <f t="shared" si="0"/>
        <v>53793164.154225275</v>
      </c>
      <c r="D10" s="19">
        <f t="shared" si="2"/>
        <v>227.72439491955365</v>
      </c>
      <c r="E10" s="6">
        <f t="shared" si="3"/>
        <v>750</v>
      </c>
      <c r="F10" s="15">
        <f t="shared" si="4"/>
        <v>361</v>
      </c>
      <c r="G10" s="7">
        <f>Salaries!F17</f>
        <v>64914.708932103196</v>
      </c>
      <c r="H10" s="8">
        <f t="shared" si="5"/>
        <v>23434209.924489252</v>
      </c>
      <c r="I10" s="15">
        <f t="shared" si="6"/>
        <v>243</v>
      </c>
      <c r="J10" s="7">
        <f>Salaries!J17</f>
        <v>70968.504552503771</v>
      </c>
      <c r="K10" s="8">
        <f t="shared" si="7"/>
        <v>17245346.606258415</v>
      </c>
      <c r="L10" s="15">
        <f t="shared" si="8"/>
        <v>121</v>
      </c>
      <c r="M10" s="7">
        <f>Salaries!N17</f>
        <v>83176.646969558205</v>
      </c>
      <c r="N10" s="8">
        <f t="shared" si="9"/>
        <v>10064374.283316543</v>
      </c>
      <c r="O10" s="15">
        <f t="shared" si="10"/>
        <v>24</v>
      </c>
      <c r="P10" s="7">
        <f>Salaries!T17</f>
        <v>120258.73081701747</v>
      </c>
      <c r="Q10" s="8">
        <f t="shared" si="11"/>
        <v>2886209.5396084189</v>
      </c>
      <c r="R10" s="1">
        <f>1</f>
        <v>1</v>
      </c>
      <c r="S10" s="7">
        <f>Salaries!W17</f>
        <v>163023.80055264701</v>
      </c>
      <c r="T10" s="8">
        <f t="shared" si="12"/>
        <v>163023.80055264701</v>
      </c>
      <c r="U10" s="36"/>
      <c r="V10" s="36"/>
      <c r="W10" s="37"/>
    </row>
    <row r="11" spans="1:23" x14ac:dyDescent="0.25">
      <c r="A11" s="39" t="s">
        <v>10</v>
      </c>
      <c r="B11" s="21">
        <f t="shared" si="1"/>
        <v>69171284.956814438</v>
      </c>
      <c r="C11" s="21">
        <f>SUM(H11,K11,N11,Q11,T11)</f>
        <v>54465578.706153095</v>
      </c>
      <c r="D11" s="21">
        <f t="shared" si="2"/>
        <v>230.57094985604812</v>
      </c>
      <c r="E11" s="24">
        <f t="shared" si="3"/>
        <v>750</v>
      </c>
      <c r="F11" s="16">
        <f t="shared" si="4"/>
        <v>361</v>
      </c>
      <c r="G11" s="14">
        <f>Salaries!F18</f>
        <v>65726.142793754494</v>
      </c>
      <c r="H11" s="17">
        <f t="shared" si="5"/>
        <v>23727137.548545372</v>
      </c>
      <c r="I11" s="16">
        <f t="shared" si="6"/>
        <v>243</v>
      </c>
      <c r="J11" s="14">
        <f>Salaries!J18</f>
        <v>71855.610859410066</v>
      </c>
      <c r="K11" s="17">
        <f t="shared" si="7"/>
        <v>17460913.438836645</v>
      </c>
      <c r="L11" s="16">
        <f t="shared" si="8"/>
        <v>121</v>
      </c>
      <c r="M11" s="14">
        <f>Salaries!N18</f>
        <v>84216.355056677683</v>
      </c>
      <c r="N11" s="17">
        <f t="shared" si="9"/>
        <v>10190178.961857999</v>
      </c>
      <c r="O11" s="16">
        <f t="shared" si="10"/>
        <v>24</v>
      </c>
      <c r="P11" s="14">
        <f>Salaries!T18</f>
        <v>121761.96495223018</v>
      </c>
      <c r="Q11" s="17">
        <f t="shared" si="11"/>
        <v>2922287.1588535244</v>
      </c>
      <c r="R11" s="3">
        <f>1</f>
        <v>1</v>
      </c>
      <c r="S11" s="14">
        <f>Salaries!W18</f>
        <v>165061.59805955508</v>
      </c>
      <c r="T11" s="17">
        <f t="shared" si="12"/>
        <v>165061.59805955508</v>
      </c>
      <c r="U11" s="36"/>
      <c r="V11" s="36"/>
      <c r="W11" s="37"/>
    </row>
    <row r="12" spans="1:23" x14ac:dyDescent="0.25">
      <c r="A12" s="40" t="s">
        <v>113</v>
      </c>
      <c r="B12" s="36" t="s">
        <v>123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/>
    </row>
    <row r="13" spans="1:23" x14ac:dyDescent="0.25">
      <c r="A13" s="40"/>
      <c r="B13" s="157" t="s">
        <v>124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</row>
    <row r="14" spans="1:23" x14ac:dyDescent="0.25">
      <c r="A14" s="158" t="s">
        <v>29</v>
      </c>
      <c r="B14" s="159"/>
      <c r="C14" s="28">
        <v>750</v>
      </c>
      <c r="D14" s="42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</row>
    <row r="15" spans="1:23" x14ac:dyDescent="0.25">
      <c r="A15" s="41" t="s">
        <v>30</v>
      </c>
      <c r="B15" s="29"/>
      <c r="C15" s="42"/>
      <c r="D15" s="42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</row>
    <row r="16" spans="1:23" x14ac:dyDescent="0.25">
      <c r="A16" s="40"/>
      <c r="B16" s="30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</row>
    <row r="17" spans="1:23" x14ac:dyDescent="0.25">
      <c r="A17" s="43"/>
      <c r="B17" s="31" t="s">
        <v>93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7"/>
    </row>
    <row r="18" spans="1:23" x14ac:dyDescent="0.25">
      <c r="A18" s="43" t="s">
        <v>60</v>
      </c>
      <c r="B18" s="32">
        <v>0.48228969006957628</v>
      </c>
      <c r="C18" s="36"/>
      <c r="D18" s="36"/>
      <c r="E18" s="36"/>
      <c r="F18" s="36"/>
      <c r="G18" s="36"/>
      <c r="H18" s="36"/>
      <c r="I18" s="36"/>
      <c r="J18" s="44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</row>
    <row r="19" spans="1:23" x14ac:dyDescent="0.25">
      <c r="A19" s="43" t="s">
        <v>61</v>
      </c>
      <c r="B19" s="32">
        <v>0.32416192283364959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7"/>
    </row>
    <row r="20" spans="1:23" x14ac:dyDescent="0.25">
      <c r="A20" s="43" t="s">
        <v>62</v>
      </c>
      <c r="B20" s="32">
        <v>0.16129032258064516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7"/>
    </row>
    <row r="21" spans="1:23" ht="15" customHeight="1" x14ac:dyDescent="0.25">
      <c r="A21" s="43" t="s">
        <v>63</v>
      </c>
      <c r="B21" s="33">
        <v>3.2258064516129031E-2</v>
      </c>
      <c r="C21" s="36"/>
      <c r="D21" s="36"/>
      <c r="F21" s="150"/>
      <c r="G21" s="150"/>
      <c r="H21" s="150"/>
      <c r="I21" s="15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7"/>
    </row>
    <row r="22" spans="1:23" x14ac:dyDescent="0.25">
      <c r="A22" s="43" t="s">
        <v>64</v>
      </c>
      <c r="B22" s="34">
        <v>1</v>
      </c>
      <c r="C22" s="36"/>
      <c r="D22" s="36"/>
      <c r="E22" s="150"/>
      <c r="F22" s="150"/>
      <c r="G22" s="150"/>
      <c r="H22" s="150"/>
      <c r="I22" s="15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1:23" ht="15.75" thickBot="1" x14ac:dyDescent="0.3">
      <c r="A23" s="45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</row>
    <row r="24" spans="1:23" x14ac:dyDescent="0.25">
      <c r="U24" s="11"/>
      <c r="V24" s="11"/>
      <c r="W24" s="11"/>
    </row>
  </sheetData>
  <mergeCells count="1">
    <mergeCell ref="A14:B1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F679A7-0CED-41F4-BCFC-BFF5E01CE940}">
          <x14:formula1>
            <xm:f>'Number of Employees'!$C$2:$C$4</xm:f>
          </x14:formula1>
          <xm:sqref>C14:D14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E743-F2FB-44E5-8FBF-970D7D076A31}">
  <sheetPr>
    <tabColor theme="9"/>
  </sheetPr>
  <dimension ref="A1:AA15"/>
  <sheetViews>
    <sheetView workbookViewId="0">
      <selection activeCell="G22" sqref="G22"/>
    </sheetView>
  </sheetViews>
  <sheetFormatPr defaultRowHeight="15" x14ac:dyDescent="0.25"/>
  <cols>
    <col min="1" max="1" width="10.5703125" customWidth="1"/>
    <col min="2" max="27" width="15.5703125" customWidth="1"/>
  </cols>
  <sheetData>
    <row r="1" spans="1:27" ht="51.75" customHeight="1" x14ac:dyDescent="0.25">
      <c r="A1" s="105" t="s">
        <v>0</v>
      </c>
      <c r="B1" s="106" t="s">
        <v>11</v>
      </c>
      <c r="C1" s="106" t="s">
        <v>12</v>
      </c>
      <c r="D1" s="106" t="s">
        <v>83</v>
      </c>
      <c r="E1" s="106" t="s">
        <v>84</v>
      </c>
      <c r="F1" s="106" t="s">
        <v>13</v>
      </c>
      <c r="G1" s="106" t="s">
        <v>65</v>
      </c>
      <c r="H1" s="113" t="s">
        <v>82</v>
      </c>
      <c r="I1" s="114" t="s">
        <v>66</v>
      </c>
      <c r="J1" s="57" t="s">
        <v>85</v>
      </c>
      <c r="K1" s="57" t="s">
        <v>15</v>
      </c>
      <c r="L1" s="115" t="s">
        <v>16</v>
      </c>
      <c r="M1" s="114" t="s">
        <v>89</v>
      </c>
      <c r="N1" s="57" t="s">
        <v>86</v>
      </c>
      <c r="O1" s="57" t="s">
        <v>18</v>
      </c>
      <c r="P1" s="115" t="s">
        <v>19</v>
      </c>
      <c r="Q1" s="114" t="s">
        <v>90</v>
      </c>
      <c r="R1" s="57" t="s">
        <v>87</v>
      </c>
      <c r="S1" s="57" t="s">
        <v>21</v>
      </c>
      <c r="T1" s="115" t="s">
        <v>22</v>
      </c>
      <c r="U1" s="114" t="s">
        <v>91</v>
      </c>
      <c r="V1" s="57" t="s">
        <v>88</v>
      </c>
      <c r="W1" s="57" t="s">
        <v>24</v>
      </c>
      <c r="X1" s="115" t="s">
        <v>25</v>
      </c>
      <c r="Y1" s="114" t="s">
        <v>26</v>
      </c>
      <c r="Z1" s="57" t="s">
        <v>27</v>
      </c>
      <c r="AA1" s="58" t="s">
        <v>28</v>
      </c>
    </row>
    <row r="2" spans="1:27" x14ac:dyDescent="0.25">
      <c r="A2" s="38" t="s">
        <v>1</v>
      </c>
      <c r="B2" s="19">
        <f>C2*1.27</f>
        <v>96331519.949313164</v>
      </c>
      <c r="C2" s="19">
        <f>SUM(D2:E2)</f>
        <v>75851590.51127021</v>
      </c>
      <c r="D2" s="19">
        <f>SUM((I2*K2),(M2*O2),(Q2*S2),(U2*W2),(Y2*AA2))</f>
        <v>48704247.248277269</v>
      </c>
      <c r="E2" s="20">
        <f>SUM((J2*K2),(N2*O2),(R2*S2),(V2*W2))</f>
        <v>27147343.262992941</v>
      </c>
      <c r="F2" s="19">
        <f>SUM(G2:H2)</f>
        <v>1169</v>
      </c>
      <c r="G2" s="5">
        <f>SUM(I2,M2,Q2,U2,Y2)</f>
        <v>750</v>
      </c>
      <c r="H2" s="6">
        <f>SUM(J2,N2,R2,V2)</f>
        <v>419</v>
      </c>
      <c r="I2" s="1">
        <f>ROUND(('Base Model'!$C$14-1)*'Base Model'!$B$18,0)</f>
        <v>361</v>
      </c>
      <c r="J2" s="2">
        <f>ROUND(I2*$C14,0)</f>
        <v>202</v>
      </c>
      <c r="K2" s="7">
        <f>Salaries!F9</f>
        <v>58773.676610929979</v>
      </c>
      <c r="L2" s="8">
        <f>(I2+J2)*K2</f>
        <v>33089579.931953579</v>
      </c>
      <c r="M2" s="15">
        <f>ROUND(('Base Model'!$C$14-1)*'Base Model'!$B$19,0)</f>
        <v>243</v>
      </c>
      <c r="N2" s="2">
        <f>ROUND(M2*$C14,0)</f>
        <v>136</v>
      </c>
      <c r="O2" s="7">
        <f>Salaries!J9</f>
        <v>64254.773760025062</v>
      </c>
      <c r="P2" s="8">
        <f>(M2+N2)*O2</f>
        <v>24352559.255049497</v>
      </c>
      <c r="Q2" s="15">
        <f>ROUND(('Base Model'!$C$14-1)*'Base Model'!$B$20,0)</f>
        <v>121</v>
      </c>
      <c r="R2" s="2">
        <f>ROUND(Q2*$C14,0)</f>
        <v>68</v>
      </c>
      <c r="S2" s="7">
        <f>Salaries!N9</f>
        <v>75308.006936971331</v>
      </c>
      <c r="T2" s="8">
        <f>(Q2+R2)*S2</f>
        <v>14233213.311087582</v>
      </c>
      <c r="U2" s="15">
        <f>ROUND(('Base Model'!$C$14-1)*'Base Model'!$B$21,0)</f>
        <v>24</v>
      </c>
      <c r="V2" s="2">
        <f>ROUND(U2*$C14,0)</f>
        <v>13</v>
      </c>
      <c r="W2" s="7">
        <f>Salaries!T9</f>
        <v>108882.06803904808</v>
      </c>
      <c r="X2" s="8">
        <f>(U2+V2)*W2</f>
        <v>4028636.5174447792</v>
      </c>
      <c r="Y2" s="15">
        <f>1</f>
        <v>1</v>
      </c>
      <c r="Z2" s="7">
        <f>Salaries!W9</f>
        <v>147601.4957347755</v>
      </c>
      <c r="AA2" s="116">
        <f>Y2*Z2</f>
        <v>147601.4957347755</v>
      </c>
    </row>
    <row r="3" spans="1:27" x14ac:dyDescent="0.25">
      <c r="A3" s="38" t="s">
        <v>2</v>
      </c>
      <c r="B3" s="19">
        <f t="shared" ref="B3:B11" si="0">C3*1.27</f>
        <v>77643136.665952966</v>
      </c>
      <c r="C3" s="19">
        <f t="shared" ref="C3:C11" si="1">SUM(D3:E3)</f>
        <v>61136328.083427534</v>
      </c>
      <c r="D3" s="19">
        <f t="shared" ref="D3:D11" si="2">SUM((I3*K3),(M3*O3),(Q3*S3),(U3*W3),(Y3*AA3))</f>
        <v>49313050.338880733</v>
      </c>
      <c r="E3" s="20">
        <f t="shared" ref="E3:E11" si="3">SUM((J3*K3),(N3*O3),(R3*S3),(V3*W3))</f>
        <v>11823277.744546805</v>
      </c>
      <c r="F3" s="19">
        <f>SUM(G3:H3)</f>
        <v>930</v>
      </c>
      <c r="G3" s="5">
        <f t="shared" ref="G3:G11" si="4">SUM(I3,M3,Q3,U3,Y3)</f>
        <v>750</v>
      </c>
      <c r="H3" s="6">
        <f>SUM(J3,N3,R3,V3)</f>
        <v>180</v>
      </c>
      <c r="I3" s="1">
        <f>ROUND(('Base Model'!$C$14-1)*'Base Model'!$B$18,0)</f>
        <v>361</v>
      </c>
      <c r="J3" s="2">
        <f>ROUND(I3*C15,0)</f>
        <v>87</v>
      </c>
      <c r="K3" s="7">
        <f>Salaries!F10</f>
        <v>59508.347568566598</v>
      </c>
      <c r="L3" s="8">
        <f t="shared" ref="L3:L11" si="5">(I3+J3)*K3</f>
        <v>26659739.710717835</v>
      </c>
      <c r="M3" s="15">
        <f>ROUND(('Base Model'!$C$14-1)*'Base Model'!$B$19,0)</f>
        <v>243</v>
      </c>
      <c r="N3" s="2">
        <f>ROUND(M3*$C15,0)</f>
        <v>58</v>
      </c>
      <c r="O3" s="7">
        <f>Salaries!J10</f>
        <v>65057.958432025371</v>
      </c>
      <c r="P3" s="8">
        <f t="shared" ref="P3:P11" si="6">(M3+N3)*O3</f>
        <v>19582445.488039635</v>
      </c>
      <c r="Q3" s="15">
        <f>ROUND(('Base Model'!$C$14-1)*'Base Model'!$B$20,0)</f>
        <v>121</v>
      </c>
      <c r="R3" s="2">
        <f>ROUND(Q3*$C15,0)</f>
        <v>29</v>
      </c>
      <c r="S3" s="7">
        <f>Salaries!N10</f>
        <v>76249.357023683478</v>
      </c>
      <c r="T3" s="8">
        <f t="shared" ref="T3:T11" si="7">(Q3+R3)*S3</f>
        <v>11437403.553552521</v>
      </c>
      <c r="U3" s="15">
        <f>ROUND(('Base Model'!$C$14-1)*'Base Model'!$B$21,0)</f>
        <v>24</v>
      </c>
      <c r="V3" s="2">
        <f>ROUND(U3*$C15,0)</f>
        <v>6</v>
      </c>
      <c r="W3" s="7">
        <f>Salaries!T10</f>
        <v>110243.09388953619</v>
      </c>
      <c r="X3" s="8">
        <f t="shared" ref="X3:X11" si="8">(U3+V3)*W3</f>
        <v>3307292.8166860859</v>
      </c>
      <c r="Y3" s="15">
        <f>1</f>
        <v>1</v>
      </c>
      <c r="Z3" s="7">
        <f>Salaries!W10</f>
        <v>149446.51443146018</v>
      </c>
      <c r="AA3" s="116">
        <f t="shared" ref="AA3:AA11" si="9">Y3*Z3</f>
        <v>149446.51443146018</v>
      </c>
    </row>
    <row r="4" spans="1:27" x14ac:dyDescent="0.25">
      <c r="A4" s="38" t="s">
        <v>3</v>
      </c>
      <c r="B4" s="19">
        <f t="shared" si="0"/>
        <v>63410418.604508258</v>
      </c>
      <c r="C4" s="19">
        <f t="shared" si="1"/>
        <v>49929463.468116738</v>
      </c>
      <c r="D4" s="19">
        <f t="shared" si="2"/>
        <v>49929463.468116738</v>
      </c>
      <c r="E4" s="20">
        <f t="shared" si="3"/>
        <v>0</v>
      </c>
      <c r="F4" s="19">
        <f t="shared" ref="F4:F11" si="10">SUM(G4:H4)</f>
        <v>750</v>
      </c>
      <c r="G4" s="5">
        <f t="shared" si="4"/>
        <v>750</v>
      </c>
      <c r="H4" s="6">
        <f t="shared" ref="H4:H11" si="11">SUM(J4,N4,R4,V4)</f>
        <v>0</v>
      </c>
      <c r="I4" s="1">
        <f>ROUND(('Base Model'!$C$14-1)*'Base Model'!$B$18,0)</f>
        <v>361</v>
      </c>
      <c r="J4" s="2"/>
      <c r="K4" s="7">
        <f>Salaries!F11</f>
        <v>60252.201913173674</v>
      </c>
      <c r="L4" s="8">
        <f t="shared" si="5"/>
        <v>21751044.890655696</v>
      </c>
      <c r="M4" s="15">
        <f>ROUND(('Base Model'!$C$14-1)*'Base Model'!$B$19,0)</f>
        <v>243</v>
      </c>
      <c r="N4" s="12"/>
      <c r="O4" s="7">
        <f>Salaries!J11</f>
        <v>65871.182912425676</v>
      </c>
      <c r="P4" s="8">
        <f t="shared" si="6"/>
        <v>16006697.44771944</v>
      </c>
      <c r="Q4" s="15">
        <f>ROUND(('Base Model'!$C$14-1)*'Base Model'!$B$20,0)</f>
        <v>121</v>
      </c>
      <c r="R4" s="12"/>
      <c r="S4" s="7">
        <f>Salaries!N11</f>
        <v>77202.473986479527</v>
      </c>
      <c r="T4" s="8">
        <f t="shared" si="7"/>
        <v>9341499.3523640223</v>
      </c>
      <c r="U4" s="15">
        <f>ROUND(('Base Model'!$C$14-1)*'Base Model'!$B$21,0)</f>
        <v>24</v>
      </c>
      <c r="V4" s="12"/>
      <c r="W4" s="7">
        <f>Salaries!T11</f>
        <v>111621.13256315541</v>
      </c>
      <c r="X4" s="8">
        <f t="shared" si="8"/>
        <v>2678907.18151573</v>
      </c>
      <c r="Y4" s="15">
        <f>1</f>
        <v>1</v>
      </c>
      <c r="Z4" s="7">
        <f>Salaries!W11</f>
        <v>151314.59586185345</v>
      </c>
      <c r="AA4" s="116">
        <f t="shared" si="9"/>
        <v>151314.59586185345</v>
      </c>
    </row>
    <row r="5" spans="1:27" x14ac:dyDescent="0.25">
      <c r="A5" s="38" t="s">
        <v>4</v>
      </c>
      <c r="B5" s="19">
        <f t="shared" si="0"/>
        <v>64203048.837064616</v>
      </c>
      <c r="C5" s="19">
        <f t="shared" si="1"/>
        <v>50553581.761468202</v>
      </c>
      <c r="D5" s="19">
        <f t="shared" si="2"/>
        <v>50553581.761468202</v>
      </c>
      <c r="E5" s="20">
        <f t="shared" si="3"/>
        <v>0</v>
      </c>
      <c r="F5" s="19">
        <f t="shared" si="10"/>
        <v>750</v>
      </c>
      <c r="G5" s="5">
        <f t="shared" si="4"/>
        <v>750</v>
      </c>
      <c r="H5" s="6">
        <f t="shared" si="11"/>
        <v>0</v>
      </c>
      <c r="I5" s="1">
        <f>ROUND(('Base Model'!$C$14-1)*'Base Model'!$B$18,0)</f>
        <v>361</v>
      </c>
      <c r="J5" s="2"/>
      <c r="K5" s="7">
        <f>Salaries!F12</f>
        <v>61005.354437088354</v>
      </c>
      <c r="L5" s="8">
        <f t="shared" si="5"/>
        <v>22022932.951788895</v>
      </c>
      <c r="M5" s="15">
        <f>ROUND(('Base Model'!$C$14-1)*'Base Model'!$B$19,0)</f>
        <v>243</v>
      </c>
      <c r="N5" s="12"/>
      <c r="O5" s="7">
        <f>Salaries!J12</f>
        <v>66694.572698830991</v>
      </c>
      <c r="P5" s="8">
        <f t="shared" si="6"/>
        <v>16206781.165815931</v>
      </c>
      <c r="Q5" s="15">
        <f>ROUND(('Base Model'!$C$14-1)*'Base Model'!$B$20,0)</f>
        <v>121</v>
      </c>
      <c r="R5" s="12"/>
      <c r="S5" s="7">
        <f>Salaries!N12</f>
        <v>78167.504911310505</v>
      </c>
      <c r="T5" s="8">
        <f t="shared" si="7"/>
        <v>9458268.0942685716</v>
      </c>
      <c r="U5" s="15">
        <f>ROUND(('Base Model'!$C$14-1)*'Base Model'!$B$21,0)</f>
        <v>24</v>
      </c>
      <c r="V5" s="12"/>
      <c r="W5" s="7">
        <f>Salaries!T12</f>
        <v>113016.39672019481</v>
      </c>
      <c r="X5" s="8">
        <f t="shared" si="8"/>
        <v>2712393.5212846752</v>
      </c>
      <c r="Y5" s="15">
        <f>1</f>
        <v>1</v>
      </c>
      <c r="Z5" s="7">
        <f>Salaries!W12</f>
        <v>153206.0283101266</v>
      </c>
      <c r="AA5" s="116">
        <f t="shared" si="9"/>
        <v>153206.0283101266</v>
      </c>
    </row>
    <row r="6" spans="1:27" x14ac:dyDescent="0.25">
      <c r="A6" s="38" t="s">
        <v>5</v>
      </c>
      <c r="B6" s="19">
        <f t="shared" si="0"/>
        <v>65005586.947527923</v>
      </c>
      <c r="C6" s="19">
        <f t="shared" si="1"/>
        <v>51185501.533486553</v>
      </c>
      <c r="D6" s="19">
        <f t="shared" si="2"/>
        <v>51185501.533486553</v>
      </c>
      <c r="E6" s="20">
        <f t="shared" si="3"/>
        <v>0</v>
      </c>
      <c r="F6" s="19">
        <f t="shared" si="10"/>
        <v>750</v>
      </c>
      <c r="G6" s="5">
        <f t="shared" si="4"/>
        <v>750</v>
      </c>
      <c r="H6" s="6">
        <f t="shared" si="11"/>
        <v>0</v>
      </c>
      <c r="I6" s="1">
        <f>ROUND(('Base Model'!$C$14-1)*'Base Model'!$B$18,0)</f>
        <v>361</v>
      </c>
      <c r="J6" s="2"/>
      <c r="K6" s="7">
        <f>Salaries!F13</f>
        <v>61767.921367551957</v>
      </c>
      <c r="L6" s="8">
        <f t="shared" si="5"/>
        <v>22298219.613686256</v>
      </c>
      <c r="M6" s="15">
        <f>ROUND(('Base Model'!$C$14-1)*'Base Model'!$B$19,0)</f>
        <v>243</v>
      </c>
      <c r="N6" s="12"/>
      <c r="O6" s="7">
        <f>Salaries!J13</f>
        <v>67528.254857566382</v>
      </c>
      <c r="P6" s="8">
        <f t="shared" si="6"/>
        <v>16409365.930388631</v>
      </c>
      <c r="Q6" s="15">
        <f>ROUND(('Base Model'!$C$14-1)*'Base Model'!$B$20,0)</f>
        <v>121</v>
      </c>
      <c r="R6" s="12"/>
      <c r="S6" s="7">
        <f>Salaries!N13</f>
        <v>79144.598722701892</v>
      </c>
      <c r="T6" s="8">
        <f t="shared" si="7"/>
        <v>9576496.445446929</v>
      </c>
      <c r="U6" s="15">
        <f>ROUND(('Base Model'!$C$14-1)*'Base Model'!$B$21,0)</f>
        <v>24</v>
      </c>
      <c r="V6" s="12"/>
      <c r="W6" s="7">
        <f>Salaries!T13</f>
        <v>114429.10167919725</v>
      </c>
      <c r="X6" s="8">
        <f t="shared" si="8"/>
        <v>2746298.4403007338</v>
      </c>
      <c r="Y6" s="15">
        <f>1</f>
        <v>1</v>
      </c>
      <c r="Z6" s="7">
        <f>Salaries!W13</f>
        <v>155121.1036640032</v>
      </c>
      <c r="AA6" s="116">
        <f t="shared" si="9"/>
        <v>155121.1036640032</v>
      </c>
    </row>
    <row r="7" spans="1:27" x14ac:dyDescent="0.25">
      <c r="A7" s="38" t="s">
        <v>6</v>
      </c>
      <c r="B7" s="19">
        <f t="shared" si="0"/>
        <v>65818156.784372017</v>
      </c>
      <c r="C7" s="19">
        <f t="shared" si="1"/>
        <v>51825320.302655131</v>
      </c>
      <c r="D7" s="19">
        <f t="shared" si="2"/>
        <v>51825320.302655131</v>
      </c>
      <c r="E7" s="20">
        <f t="shared" si="3"/>
        <v>0</v>
      </c>
      <c r="F7" s="19">
        <f t="shared" si="10"/>
        <v>750</v>
      </c>
      <c r="G7" s="5">
        <f t="shared" si="4"/>
        <v>750</v>
      </c>
      <c r="H7" s="6">
        <f t="shared" si="11"/>
        <v>0</v>
      </c>
      <c r="I7" s="1">
        <f>ROUND(('Base Model'!$C$14-1)*'Base Model'!$B$18,0)</f>
        <v>361</v>
      </c>
      <c r="J7" s="2"/>
      <c r="K7" s="7">
        <f>Salaries!F14</f>
        <v>62540.020384646348</v>
      </c>
      <c r="L7" s="8">
        <f t="shared" si="5"/>
        <v>22576947.35885733</v>
      </c>
      <c r="M7" s="15">
        <f>ROUND(('Base Model'!$C$14-1)*'Base Model'!$B$19,0)</f>
        <v>243</v>
      </c>
      <c r="N7" s="12"/>
      <c r="O7" s="7">
        <f>Salaries!J14</f>
        <v>68372.35804328596</v>
      </c>
      <c r="P7" s="8">
        <f t="shared" si="6"/>
        <v>16614483.004518488</v>
      </c>
      <c r="Q7" s="15">
        <f>ROUND(('Base Model'!$C$14-1)*'Base Model'!$B$20,0)</f>
        <v>121</v>
      </c>
      <c r="R7" s="12"/>
      <c r="S7" s="7">
        <f>Salaries!N14</f>
        <v>80133.906206735657</v>
      </c>
      <c r="T7" s="8">
        <f t="shared" si="7"/>
        <v>9696202.6510150153</v>
      </c>
      <c r="U7" s="15">
        <f>ROUND(('Base Model'!$C$14-1)*'Base Model'!$B$21,0)</f>
        <v>24</v>
      </c>
      <c r="V7" s="12"/>
      <c r="W7" s="7">
        <f>Salaries!T14</f>
        <v>115859.46545018721</v>
      </c>
      <c r="X7" s="8">
        <f t="shared" si="8"/>
        <v>2780627.1708044931</v>
      </c>
      <c r="Y7" s="15">
        <f>1</f>
        <v>1</v>
      </c>
      <c r="Z7" s="7">
        <f>Salaries!W14</f>
        <v>157060.11745980321</v>
      </c>
      <c r="AA7" s="116">
        <f t="shared" si="9"/>
        <v>157060.11745980321</v>
      </c>
    </row>
    <row r="8" spans="1:27" x14ac:dyDescent="0.25">
      <c r="A8" s="38" t="s">
        <v>7</v>
      </c>
      <c r="B8" s="19">
        <f t="shared" si="0"/>
        <v>66640883.744176663</v>
      </c>
      <c r="C8" s="19">
        <f t="shared" si="1"/>
        <v>52473136.806438319</v>
      </c>
      <c r="D8" s="19">
        <f t="shared" si="2"/>
        <v>52473136.806438319</v>
      </c>
      <c r="E8" s="20">
        <f t="shared" si="3"/>
        <v>0</v>
      </c>
      <c r="F8" s="19">
        <f t="shared" si="10"/>
        <v>750</v>
      </c>
      <c r="G8" s="5">
        <f t="shared" si="4"/>
        <v>750</v>
      </c>
      <c r="H8" s="6">
        <f t="shared" si="11"/>
        <v>0</v>
      </c>
      <c r="I8" s="1">
        <f>ROUND(('Base Model'!$C$14-1)*'Base Model'!$B$18,0)</f>
        <v>361</v>
      </c>
      <c r="J8" s="2"/>
      <c r="K8" s="7">
        <f>Salaries!F15</f>
        <v>63321.770639454422</v>
      </c>
      <c r="L8" s="8">
        <f t="shared" si="5"/>
        <v>22859159.200843047</v>
      </c>
      <c r="M8" s="15">
        <f>ROUND(('Base Model'!$C$14-1)*'Base Model'!$B$19,0)</f>
        <v>243</v>
      </c>
      <c r="N8" s="12"/>
      <c r="O8" s="7">
        <f>Salaries!J15</f>
        <v>69227.012518827032</v>
      </c>
      <c r="P8" s="8">
        <f t="shared" si="6"/>
        <v>16822164.042074967</v>
      </c>
      <c r="Q8" s="15">
        <f>ROUND(('Base Model'!$C$14-1)*'Base Model'!$B$20,0)</f>
        <v>121</v>
      </c>
      <c r="R8" s="12"/>
      <c r="S8" s="7">
        <f>Salaries!N15</f>
        <v>81135.58003431985</v>
      </c>
      <c r="T8" s="8">
        <f t="shared" si="7"/>
        <v>9817405.1841527019</v>
      </c>
      <c r="U8" s="15">
        <f>ROUND(('Base Model'!$C$14-1)*'Base Model'!$B$21,0)</f>
        <v>24</v>
      </c>
      <c r="V8" s="12"/>
      <c r="W8" s="7">
        <f>Salaries!T15</f>
        <v>117307.70876831457</v>
      </c>
      <c r="X8" s="8">
        <f t="shared" si="8"/>
        <v>2815385.0104395496</v>
      </c>
      <c r="Y8" s="15">
        <f>1</f>
        <v>1</v>
      </c>
      <c r="Z8" s="7">
        <f>Salaries!W15</f>
        <v>159023.36892805074</v>
      </c>
      <c r="AA8" s="116">
        <f t="shared" si="9"/>
        <v>159023.36892805074</v>
      </c>
    </row>
    <row r="9" spans="1:27" x14ac:dyDescent="0.25">
      <c r="A9" s="38" t="s">
        <v>8</v>
      </c>
      <c r="B9" s="19">
        <f t="shared" si="0"/>
        <v>67473894.790978864</v>
      </c>
      <c r="C9" s="19">
        <f t="shared" si="1"/>
        <v>53129051.016518794</v>
      </c>
      <c r="D9" s="19">
        <f t="shared" si="2"/>
        <v>53129051.016518794</v>
      </c>
      <c r="E9" s="20">
        <f t="shared" si="3"/>
        <v>0</v>
      </c>
      <c r="F9" s="19">
        <f t="shared" si="10"/>
        <v>750</v>
      </c>
      <c r="G9" s="5">
        <f t="shared" si="4"/>
        <v>750</v>
      </c>
      <c r="H9" s="6">
        <f t="shared" si="11"/>
        <v>0</v>
      </c>
      <c r="I9" s="1">
        <f>ROUND(('Base Model'!$C$14-1)*'Base Model'!$B$18,0)</f>
        <v>361</v>
      </c>
      <c r="J9" s="2"/>
      <c r="K9" s="7">
        <f>Salaries!F16</f>
        <v>64113.292772447603</v>
      </c>
      <c r="L9" s="8">
        <f t="shared" si="5"/>
        <v>23144898.690853585</v>
      </c>
      <c r="M9" s="15">
        <f>ROUND(('Base Model'!$C$14-1)*'Base Model'!$B$19,0)</f>
        <v>243</v>
      </c>
      <c r="N9" s="12"/>
      <c r="O9" s="7">
        <f>Salaries!J16</f>
        <v>70092.350175312356</v>
      </c>
      <c r="P9" s="8">
        <f t="shared" si="6"/>
        <v>17032441.092600904</v>
      </c>
      <c r="Q9" s="15">
        <f>ROUND(('Base Model'!$C$14-1)*'Base Model'!$B$20,0)</f>
        <v>121</v>
      </c>
      <c r="R9" s="12"/>
      <c r="S9" s="7">
        <f>Salaries!N16</f>
        <v>82149.77478474885</v>
      </c>
      <c r="T9" s="8">
        <f t="shared" si="7"/>
        <v>9940122.7489546109</v>
      </c>
      <c r="U9" s="15">
        <f>ROUND(('Base Model'!$C$14-1)*'Base Model'!$B$21,0)</f>
        <v>24</v>
      </c>
      <c r="V9" s="12"/>
      <c r="W9" s="7">
        <f>Salaries!T16</f>
        <v>118774.05512791849</v>
      </c>
      <c r="X9" s="8">
        <f t="shared" si="8"/>
        <v>2850577.3230700437</v>
      </c>
      <c r="Y9" s="15">
        <f>1</f>
        <v>1</v>
      </c>
      <c r="Z9" s="7">
        <f>Salaries!W16</f>
        <v>161011.16103965137</v>
      </c>
      <c r="AA9" s="116">
        <f t="shared" si="9"/>
        <v>161011.16103965137</v>
      </c>
    </row>
    <row r="10" spans="1:27" x14ac:dyDescent="0.25">
      <c r="A10" s="38" t="s">
        <v>9</v>
      </c>
      <c r="B10" s="19">
        <f t="shared" si="0"/>
        <v>68317318.475866094</v>
      </c>
      <c r="C10" s="19">
        <f t="shared" si="1"/>
        <v>53793164.154225275</v>
      </c>
      <c r="D10" s="19">
        <f t="shared" si="2"/>
        <v>53793164.154225275</v>
      </c>
      <c r="E10" s="20">
        <f t="shared" si="3"/>
        <v>0</v>
      </c>
      <c r="F10" s="19">
        <f t="shared" si="10"/>
        <v>750</v>
      </c>
      <c r="G10" s="5">
        <f t="shared" si="4"/>
        <v>750</v>
      </c>
      <c r="H10" s="6">
        <f t="shared" si="11"/>
        <v>0</v>
      </c>
      <c r="I10" s="1">
        <f>ROUND(('Base Model'!$C$14-1)*'Base Model'!$B$18,0)</f>
        <v>361</v>
      </c>
      <c r="J10" s="2"/>
      <c r="K10" s="7">
        <f>Salaries!F17</f>
        <v>64914.708932103196</v>
      </c>
      <c r="L10" s="8">
        <f t="shared" si="5"/>
        <v>23434209.924489252</v>
      </c>
      <c r="M10" s="15">
        <f>ROUND(('Base Model'!$C$14-1)*'Base Model'!$B$19,0)</f>
        <v>243</v>
      </c>
      <c r="N10" s="12"/>
      <c r="O10" s="7">
        <f>Salaries!J17</f>
        <v>70968.504552503771</v>
      </c>
      <c r="P10" s="8">
        <f t="shared" si="6"/>
        <v>17245346.606258415</v>
      </c>
      <c r="Q10" s="15">
        <f>ROUND(('Base Model'!$C$14-1)*'Base Model'!$B$20,0)</f>
        <v>121</v>
      </c>
      <c r="R10" s="12"/>
      <c r="S10" s="7">
        <f>Salaries!N17</f>
        <v>83176.646969558205</v>
      </c>
      <c r="T10" s="8">
        <f t="shared" si="7"/>
        <v>10064374.283316543</v>
      </c>
      <c r="U10" s="15">
        <f>ROUND(('Base Model'!$C$14-1)*'Base Model'!$B$21,0)</f>
        <v>24</v>
      </c>
      <c r="V10" s="12"/>
      <c r="W10" s="7">
        <f>Salaries!T17</f>
        <v>120258.73081701747</v>
      </c>
      <c r="X10" s="8">
        <f t="shared" si="8"/>
        <v>2886209.5396084189</v>
      </c>
      <c r="Y10" s="15">
        <f>1</f>
        <v>1</v>
      </c>
      <c r="Z10" s="7">
        <f>Salaries!W17</f>
        <v>163023.80055264701</v>
      </c>
      <c r="AA10" s="116">
        <f t="shared" si="9"/>
        <v>163023.80055264701</v>
      </c>
    </row>
    <row r="11" spans="1:27" x14ac:dyDescent="0.25">
      <c r="A11" s="39" t="s">
        <v>10</v>
      </c>
      <c r="B11" s="21">
        <f t="shared" si="0"/>
        <v>69171284.956814438</v>
      </c>
      <c r="C11" s="21">
        <f t="shared" si="1"/>
        <v>54465578.706153095</v>
      </c>
      <c r="D11" s="21">
        <f t="shared" si="2"/>
        <v>54465578.706153095</v>
      </c>
      <c r="E11" s="22">
        <f t="shared" si="3"/>
        <v>0</v>
      </c>
      <c r="F11" s="21">
        <f t="shared" si="10"/>
        <v>750</v>
      </c>
      <c r="G11" s="23">
        <f t="shared" si="4"/>
        <v>750</v>
      </c>
      <c r="H11" s="24">
        <f t="shared" si="11"/>
        <v>0</v>
      </c>
      <c r="I11" s="3">
        <f>ROUND(('Base Model'!$C$14-1)*'Base Model'!$B$18,0)</f>
        <v>361</v>
      </c>
      <c r="J11" s="4"/>
      <c r="K11" s="14">
        <f>Salaries!F18</f>
        <v>65726.142793754494</v>
      </c>
      <c r="L11" s="17">
        <f t="shared" si="5"/>
        <v>23727137.548545372</v>
      </c>
      <c r="M11" s="16">
        <f>ROUND(('Base Model'!$C$14-1)*'Base Model'!$B$19,0)</f>
        <v>243</v>
      </c>
      <c r="N11" s="13"/>
      <c r="O11" s="14">
        <f>Salaries!J18</f>
        <v>71855.610859410066</v>
      </c>
      <c r="P11" s="17">
        <f t="shared" si="6"/>
        <v>17460913.438836645</v>
      </c>
      <c r="Q11" s="16">
        <f>ROUND(('Base Model'!$C$14-1)*'Base Model'!$B$20,0)</f>
        <v>121</v>
      </c>
      <c r="R11" s="13"/>
      <c r="S11" s="14">
        <f>Salaries!N18</f>
        <v>84216.355056677683</v>
      </c>
      <c r="T11" s="17">
        <f t="shared" si="7"/>
        <v>10190178.961857999</v>
      </c>
      <c r="U11" s="16">
        <f>ROUND(('Base Model'!$C$14-1)*'Base Model'!$B$21,0)</f>
        <v>24</v>
      </c>
      <c r="V11" s="13"/>
      <c r="W11" s="14">
        <f>Salaries!T18</f>
        <v>121761.96495223018</v>
      </c>
      <c r="X11" s="17">
        <f t="shared" si="8"/>
        <v>2922287.1588535244</v>
      </c>
      <c r="Y11" s="16">
        <f>1</f>
        <v>1</v>
      </c>
      <c r="Z11" s="14">
        <f>Salaries!W18</f>
        <v>165061.59805955508</v>
      </c>
      <c r="AA11" s="117">
        <f t="shared" si="9"/>
        <v>165061.59805955508</v>
      </c>
    </row>
    <row r="12" spans="1:27" x14ac:dyDescent="0.25">
      <c r="A12" s="40"/>
      <c r="B12" s="118"/>
      <c r="C12" s="118"/>
      <c r="D12" s="118"/>
      <c r="E12" s="118"/>
      <c r="F12" s="118"/>
      <c r="G12" s="36"/>
      <c r="H12" s="36"/>
      <c r="I12" s="36"/>
      <c r="J12" s="36"/>
      <c r="K12" s="36"/>
      <c r="L12" s="36"/>
      <c r="M12" s="36"/>
      <c r="N12" s="36"/>
      <c r="O12" s="36"/>
      <c r="P12" s="118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7"/>
    </row>
    <row r="13" spans="1:27" x14ac:dyDescent="0.25">
      <c r="A13" s="160" t="s">
        <v>29</v>
      </c>
      <c r="B13" s="161"/>
      <c r="C13" s="36">
        <f>'Base Model'!C14</f>
        <v>750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7"/>
    </row>
    <row r="14" spans="1:27" x14ac:dyDescent="0.25">
      <c r="A14" s="40" t="s">
        <v>67</v>
      </c>
      <c r="B14" s="36"/>
      <c r="C14" s="103">
        <f>'Training '!B2</f>
        <v>0.56000000000000005</v>
      </c>
      <c r="D14" s="103"/>
      <c r="E14" s="103"/>
      <c r="F14" s="103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7"/>
    </row>
    <row r="15" spans="1:27" ht="15.75" thickBot="1" x14ac:dyDescent="0.3">
      <c r="A15" s="45" t="s">
        <v>68</v>
      </c>
      <c r="B15" s="47"/>
      <c r="C15" s="119">
        <f>'Training '!B3</f>
        <v>0.24</v>
      </c>
      <c r="D15" s="119"/>
      <c r="E15" s="119"/>
      <c r="F15" s="119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8"/>
    </row>
  </sheetData>
  <mergeCells count="1"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8E27-0171-4E5D-822A-4C9A05D6DF0E}">
  <sheetPr>
    <tabColor theme="8"/>
  </sheetPr>
  <dimension ref="A1:Y27"/>
  <sheetViews>
    <sheetView workbookViewId="0">
      <selection activeCell="A20" sqref="A20"/>
    </sheetView>
  </sheetViews>
  <sheetFormatPr defaultRowHeight="15" x14ac:dyDescent="0.25"/>
  <cols>
    <col min="1" max="1" width="18.7109375" customWidth="1"/>
    <col min="2" max="5" width="10.5703125" bestFit="1" customWidth="1"/>
    <col min="6" max="6" width="10.5703125" customWidth="1"/>
    <col min="7" max="9" width="10.5703125" bestFit="1" customWidth="1"/>
    <col min="10" max="10" width="10.5703125" customWidth="1"/>
    <col min="11" max="13" width="10.5703125" bestFit="1" customWidth="1"/>
    <col min="14" max="14" width="10.5703125" customWidth="1"/>
    <col min="15" max="16" width="10.5703125" bestFit="1" customWidth="1"/>
    <col min="17" max="19" width="11.5703125" bestFit="1" customWidth="1"/>
    <col min="20" max="20" width="11.5703125" customWidth="1"/>
    <col min="21" max="22" width="11.5703125" bestFit="1" customWidth="1"/>
  </cols>
  <sheetData>
    <row r="1" spans="1:25" ht="15.75" x14ac:dyDescent="0.25">
      <c r="A1" s="143"/>
      <c r="B1" s="166" t="s">
        <v>32</v>
      </c>
      <c r="C1" s="167"/>
      <c r="D1" s="167"/>
      <c r="E1" s="167"/>
      <c r="F1" s="168"/>
      <c r="G1" s="166" t="s">
        <v>43</v>
      </c>
      <c r="H1" s="167"/>
      <c r="I1" s="167"/>
      <c r="J1" s="168"/>
      <c r="K1" s="166" t="s">
        <v>44</v>
      </c>
      <c r="L1" s="167"/>
      <c r="M1" s="167"/>
      <c r="N1" s="168"/>
      <c r="O1" s="166" t="s">
        <v>45</v>
      </c>
      <c r="P1" s="167"/>
      <c r="Q1" s="167"/>
      <c r="R1" s="167"/>
      <c r="S1" s="167"/>
      <c r="T1" s="168"/>
      <c r="U1" s="163" t="s">
        <v>49</v>
      </c>
      <c r="V1" s="164"/>
      <c r="W1" s="165"/>
      <c r="X1" s="51"/>
      <c r="Y1" s="51"/>
    </row>
    <row r="2" spans="1:25" x14ac:dyDescent="0.25">
      <c r="A2" s="144" t="s">
        <v>31</v>
      </c>
      <c r="B2" s="134" t="s">
        <v>33</v>
      </c>
      <c r="C2" s="135" t="s">
        <v>34</v>
      </c>
      <c r="D2" s="135" t="s">
        <v>35</v>
      </c>
      <c r="E2" s="135" t="s">
        <v>36</v>
      </c>
      <c r="F2" s="136" t="s">
        <v>92</v>
      </c>
      <c r="G2" s="125" t="s">
        <v>33</v>
      </c>
      <c r="H2" s="126" t="s">
        <v>34</v>
      </c>
      <c r="I2" s="126" t="s">
        <v>35</v>
      </c>
      <c r="J2" s="127" t="s">
        <v>92</v>
      </c>
      <c r="K2" s="134" t="s">
        <v>33</v>
      </c>
      <c r="L2" s="135" t="s">
        <v>34</v>
      </c>
      <c r="M2" s="135" t="s">
        <v>35</v>
      </c>
      <c r="N2" s="136" t="s">
        <v>92</v>
      </c>
      <c r="O2" s="125" t="s">
        <v>33</v>
      </c>
      <c r="P2" s="126" t="s">
        <v>34</v>
      </c>
      <c r="Q2" s="126" t="s">
        <v>35</v>
      </c>
      <c r="R2" s="126" t="s">
        <v>36</v>
      </c>
      <c r="S2" s="126" t="s">
        <v>46</v>
      </c>
      <c r="T2" s="127" t="s">
        <v>92</v>
      </c>
      <c r="U2" s="134" t="s">
        <v>50</v>
      </c>
      <c r="V2" s="135" t="s">
        <v>51</v>
      </c>
      <c r="W2" s="145" t="s">
        <v>92</v>
      </c>
      <c r="X2" s="51"/>
      <c r="Y2" s="51"/>
    </row>
    <row r="3" spans="1:25" x14ac:dyDescent="0.25">
      <c r="A3" s="146" t="s">
        <v>47</v>
      </c>
      <c r="B3" s="137">
        <v>51538</v>
      </c>
      <c r="C3" s="67">
        <v>53498</v>
      </c>
      <c r="D3" s="67">
        <v>55530</v>
      </c>
      <c r="E3" s="67">
        <v>57643</v>
      </c>
      <c r="F3" s="138">
        <f>AVERAGE(B3:E3)</f>
        <v>54552.25</v>
      </c>
      <c r="G3" s="128">
        <v>57430</v>
      </c>
      <c r="H3" s="7">
        <v>59612</v>
      </c>
      <c r="I3" s="7">
        <v>61877</v>
      </c>
      <c r="J3" s="129">
        <f>AVERAGE(G3:I3)</f>
        <v>59639.666666666664</v>
      </c>
      <c r="K3" s="137">
        <v>67241</v>
      </c>
      <c r="L3" s="67">
        <v>69796</v>
      </c>
      <c r="M3" s="67">
        <v>72660</v>
      </c>
      <c r="N3" s="138">
        <f>AVERAGE(K3:M3)</f>
        <v>69899</v>
      </c>
      <c r="O3" s="128">
        <v>94121</v>
      </c>
      <c r="P3" s="7">
        <v>97701</v>
      </c>
      <c r="Q3" s="7">
        <v>101410</v>
      </c>
      <c r="R3" s="7">
        <v>104457</v>
      </c>
      <c r="S3" s="7">
        <v>107619</v>
      </c>
      <c r="T3" s="129">
        <f>AVERAGE(O3:S3)</f>
        <v>101061.6</v>
      </c>
      <c r="U3" s="128">
        <v>125900</v>
      </c>
      <c r="V3" s="7">
        <v>148100</v>
      </c>
      <c r="W3" s="18">
        <f>AVERAGE(U3:V3)</f>
        <v>137000</v>
      </c>
      <c r="X3" s="51"/>
      <c r="Y3" s="51"/>
    </row>
    <row r="4" spans="1:25" x14ac:dyDescent="0.25">
      <c r="A4" s="146" t="s">
        <v>38</v>
      </c>
      <c r="B4" s="139">
        <f>B3*(1+$C$22)</f>
        <v>52182.224999999999</v>
      </c>
      <c r="C4" s="10">
        <f t="shared" ref="C4:E4" si="0">C3*(1+$C$22)</f>
        <v>54166.724999999999</v>
      </c>
      <c r="D4" s="10">
        <f t="shared" si="0"/>
        <v>56224.125</v>
      </c>
      <c r="E4" s="10">
        <f t="shared" si="0"/>
        <v>58363.537499999999</v>
      </c>
      <c r="F4" s="138">
        <f>AVERAGE(B4:E4)</f>
        <v>55234.153125000004</v>
      </c>
      <c r="G4" s="130">
        <f>G3*(1+$C$22)</f>
        <v>58147.875</v>
      </c>
      <c r="H4" s="9">
        <f t="shared" ref="H4:I4" si="1">H3*(1+$C$22)</f>
        <v>60357.149999999994</v>
      </c>
      <c r="I4" s="9">
        <f t="shared" si="1"/>
        <v>62650.462499999994</v>
      </c>
      <c r="J4" s="129">
        <f t="shared" ref="J4:J18" si="2">AVERAGE(G4:I4)</f>
        <v>60385.162499999999</v>
      </c>
      <c r="K4" s="139">
        <f>K3*(1+$C$22)</f>
        <v>68081.512499999997</v>
      </c>
      <c r="L4" s="10">
        <f t="shared" ref="L4:M4" si="3">L3*(1+$C$22)</f>
        <v>70668.45</v>
      </c>
      <c r="M4" s="10">
        <f t="shared" si="3"/>
        <v>73568.25</v>
      </c>
      <c r="N4" s="138">
        <f t="shared" ref="N4:N18" si="4">AVERAGE(K4:M4)</f>
        <v>70772.737500000003</v>
      </c>
      <c r="O4" s="139">
        <f>O3*(1+$C$22)</f>
        <v>95297.512499999997</v>
      </c>
      <c r="P4" s="10">
        <f t="shared" ref="P4:S4" si="5">P3*(1+$C$22)</f>
        <v>98922.262499999997</v>
      </c>
      <c r="Q4" s="10">
        <f t="shared" si="5"/>
        <v>102677.625</v>
      </c>
      <c r="R4" s="10">
        <f t="shared" si="5"/>
        <v>105762.71249999999</v>
      </c>
      <c r="S4" s="10">
        <f t="shared" si="5"/>
        <v>108964.23749999999</v>
      </c>
      <c r="T4" s="129">
        <f>AVERAGE(O4:S4)</f>
        <v>102324.87000000001</v>
      </c>
      <c r="U4" s="139">
        <f>U3*(1+$C$22)</f>
        <v>127473.75</v>
      </c>
      <c r="V4" s="10">
        <f>V3*(1+$C$22)</f>
        <v>149951.25</v>
      </c>
      <c r="W4" s="18">
        <f t="shared" ref="W4:W18" si="6">AVERAGE(U4:V4)</f>
        <v>138712.5</v>
      </c>
      <c r="X4" s="51"/>
      <c r="Y4" s="51"/>
    </row>
    <row r="5" spans="1:25" x14ac:dyDescent="0.25">
      <c r="A5" s="146" t="s">
        <v>39</v>
      </c>
      <c r="B5" s="139">
        <f t="shared" ref="B5:B18" si="7">B4*(1+$C$22)</f>
        <v>52834.502812499995</v>
      </c>
      <c r="C5" s="10">
        <f t="shared" ref="C5:C18" si="8">C4*(1+$C$22)</f>
        <v>54843.809062499997</v>
      </c>
      <c r="D5" s="10">
        <f t="shared" ref="D5:D18" si="9">D4*(1+$C$22)</f>
        <v>56926.926562499997</v>
      </c>
      <c r="E5" s="10">
        <f t="shared" ref="E5:E18" si="10">E4*(1+$C$22)</f>
        <v>59093.081718749992</v>
      </c>
      <c r="F5" s="138">
        <f t="shared" ref="F5:F18" si="11">AVERAGE(B5:E5)</f>
        <v>55924.580039062494</v>
      </c>
      <c r="G5" s="130">
        <f t="shared" ref="G5:G18" si="12">G4*(1+$C$22)</f>
        <v>58874.723437499997</v>
      </c>
      <c r="H5" s="9">
        <f t="shared" ref="H5:H18" si="13">H4*(1+$C$22)</f>
        <v>61111.61437499999</v>
      </c>
      <c r="I5" s="9">
        <f t="shared" ref="I5:I18" si="14">I4*(1+$C$22)</f>
        <v>63433.593281249989</v>
      </c>
      <c r="J5" s="129">
        <f t="shared" si="2"/>
        <v>61139.97703124999</v>
      </c>
      <c r="K5" s="139">
        <f t="shared" ref="K5:K18" si="15">K4*(1+$C$22)</f>
        <v>68932.531406249997</v>
      </c>
      <c r="L5" s="10">
        <f t="shared" ref="L5:L18" si="16">L4*(1+$C$22)</f>
        <v>71551.805624999994</v>
      </c>
      <c r="M5" s="10">
        <f t="shared" ref="M5:M18" si="17">M4*(1+$C$22)</f>
        <v>74487.853124999994</v>
      </c>
      <c r="N5" s="138">
        <f t="shared" si="4"/>
        <v>71657.396718749995</v>
      </c>
      <c r="O5" s="139">
        <f t="shared" ref="O5:O18" si="18">O4*(1+$C$22)</f>
        <v>96488.731406249994</v>
      </c>
      <c r="P5" s="10">
        <f t="shared" ref="P5:P18" si="19">P4*(1+$C$22)</f>
        <v>100158.79078124999</v>
      </c>
      <c r="Q5" s="10">
        <f t="shared" ref="Q5:Q18" si="20">Q4*(1+$C$22)</f>
        <v>103961.09531249999</v>
      </c>
      <c r="R5" s="10">
        <f t="shared" ref="R5:R18" si="21">R4*(1+$C$22)</f>
        <v>107084.74640624999</v>
      </c>
      <c r="S5" s="10">
        <f t="shared" ref="S5:S18" si="22">S4*(1+$C$22)</f>
        <v>110326.29046874998</v>
      </c>
      <c r="T5" s="129">
        <f t="shared" ref="T5:T18" si="23">AVERAGE(O5:S5)</f>
        <v>103603.93087499999</v>
      </c>
      <c r="U5" s="139">
        <f t="shared" ref="U5:U18" si="24">U4*(1+$C$22)</f>
        <v>129067.171875</v>
      </c>
      <c r="V5" s="10">
        <f t="shared" ref="V5:V18" si="25">V4*(1+$C$22)</f>
        <v>151825.640625</v>
      </c>
      <c r="W5" s="18">
        <f t="shared" si="6"/>
        <v>140446.40625</v>
      </c>
      <c r="X5" s="51"/>
      <c r="Y5" s="51"/>
    </row>
    <row r="6" spans="1:25" x14ac:dyDescent="0.25">
      <c r="A6" s="146" t="s">
        <v>40</v>
      </c>
      <c r="B6" s="139">
        <f t="shared" si="7"/>
        <v>53494.934097656245</v>
      </c>
      <c r="C6" s="10">
        <f t="shared" si="8"/>
        <v>55529.356675781244</v>
      </c>
      <c r="D6" s="10">
        <f t="shared" si="9"/>
        <v>57638.513144531244</v>
      </c>
      <c r="E6" s="10">
        <f t="shared" si="10"/>
        <v>59831.745240234362</v>
      </c>
      <c r="F6" s="138">
        <f t="shared" si="11"/>
        <v>56623.637289550774</v>
      </c>
      <c r="G6" s="130">
        <f t="shared" si="12"/>
        <v>59610.657480468748</v>
      </c>
      <c r="H6" s="9">
        <f t="shared" si="13"/>
        <v>61875.509554687487</v>
      </c>
      <c r="I6" s="9">
        <f t="shared" si="14"/>
        <v>64226.513197265609</v>
      </c>
      <c r="J6" s="129">
        <f t="shared" si="2"/>
        <v>61904.226744140615</v>
      </c>
      <c r="K6" s="139">
        <f t="shared" si="15"/>
        <v>69794.188048828117</v>
      </c>
      <c r="L6" s="10">
        <f t="shared" si="16"/>
        <v>72446.203195312497</v>
      </c>
      <c r="M6" s="10">
        <f t="shared" si="17"/>
        <v>75418.95128906249</v>
      </c>
      <c r="N6" s="138">
        <f t="shared" si="4"/>
        <v>72553.114177734373</v>
      </c>
      <c r="O6" s="139">
        <f t="shared" si="18"/>
        <v>97694.840548828113</v>
      </c>
      <c r="P6" s="10">
        <f t="shared" si="19"/>
        <v>101410.77566601562</v>
      </c>
      <c r="Q6" s="10">
        <f t="shared" si="20"/>
        <v>105260.60900390624</v>
      </c>
      <c r="R6" s="10">
        <f t="shared" si="21"/>
        <v>108423.30573632811</v>
      </c>
      <c r="S6" s="10">
        <f t="shared" si="22"/>
        <v>111705.36909960935</v>
      </c>
      <c r="T6" s="129">
        <f t="shared" si="23"/>
        <v>104898.98001093748</v>
      </c>
      <c r="U6" s="139">
        <f t="shared" si="24"/>
        <v>130680.5115234375</v>
      </c>
      <c r="V6" s="10">
        <f t="shared" si="25"/>
        <v>153723.46113281249</v>
      </c>
      <c r="W6" s="18">
        <f t="shared" si="6"/>
        <v>142201.986328125</v>
      </c>
      <c r="X6" s="51"/>
      <c r="Y6" s="51"/>
    </row>
    <row r="7" spans="1:25" x14ac:dyDescent="0.25">
      <c r="A7" s="146" t="s">
        <v>41</v>
      </c>
      <c r="B7" s="139">
        <f t="shared" si="7"/>
        <v>54163.620773876944</v>
      </c>
      <c r="C7" s="10">
        <f t="shared" si="8"/>
        <v>56223.47363422851</v>
      </c>
      <c r="D7" s="10">
        <f t="shared" si="9"/>
        <v>58358.994558837883</v>
      </c>
      <c r="E7" s="10">
        <f t="shared" si="10"/>
        <v>60579.642055737291</v>
      </c>
      <c r="F7" s="138">
        <f t="shared" si="11"/>
        <v>57331.432755670154</v>
      </c>
      <c r="G7" s="130">
        <f t="shared" si="12"/>
        <v>60355.790698974604</v>
      </c>
      <c r="H7" s="9">
        <f t="shared" si="13"/>
        <v>62648.953424121079</v>
      </c>
      <c r="I7" s="9">
        <f t="shared" si="14"/>
        <v>65029.344612231427</v>
      </c>
      <c r="J7" s="129">
        <f t="shared" si="2"/>
        <v>62678.029578442365</v>
      </c>
      <c r="K7" s="139">
        <f t="shared" si="15"/>
        <v>70666.615399438466</v>
      </c>
      <c r="L7" s="10">
        <f t="shared" si="16"/>
        <v>73351.780735253895</v>
      </c>
      <c r="M7" s="10">
        <f t="shared" si="17"/>
        <v>76361.68818017577</v>
      </c>
      <c r="N7" s="138">
        <f t="shared" si="4"/>
        <v>73460.028104956044</v>
      </c>
      <c r="O7" s="139">
        <f t="shared" si="18"/>
        <v>98916.02605568846</v>
      </c>
      <c r="P7" s="10">
        <f t="shared" si="19"/>
        <v>102678.41036184081</v>
      </c>
      <c r="Q7" s="10">
        <f t="shared" si="20"/>
        <v>106576.36661645507</v>
      </c>
      <c r="R7" s="10">
        <f t="shared" si="21"/>
        <v>109778.5970580322</v>
      </c>
      <c r="S7" s="10">
        <f t="shared" si="22"/>
        <v>113101.68621335446</v>
      </c>
      <c r="T7" s="129">
        <f t="shared" si="23"/>
        <v>106210.2172610742</v>
      </c>
      <c r="U7" s="139">
        <f t="shared" si="24"/>
        <v>132314.01791748047</v>
      </c>
      <c r="V7" s="10">
        <f t="shared" si="25"/>
        <v>155645.00439697262</v>
      </c>
      <c r="W7" s="18">
        <f t="shared" si="6"/>
        <v>143979.51115722655</v>
      </c>
      <c r="X7" s="51"/>
      <c r="Y7" s="51"/>
    </row>
    <row r="8" spans="1:25" x14ac:dyDescent="0.25">
      <c r="A8" s="146" t="s">
        <v>42</v>
      </c>
      <c r="B8" s="139">
        <f t="shared" si="7"/>
        <v>54840.666033550406</v>
      </c>
      <c r="C8" s="10">
        <f t="shared" si="8"/>
        <v>56926.267054656368</v>
      </c>
      <c r="D8" s="10">
        <f t="shared" si="9"/>
        <v>59088.481990823355</v>
      </c>
      <c r="E8" s="10">
        <f t="shared" si="10"/>
        <v>61336.887581434006</v>
      </c>
      <c r="F8" s="138">
        <f t="shared" si="11"/>
        <v>58048.075665116034</v>
      </c>
      <c r="G8" s="130">
        <f t="shared" si="12"/>
        <v>61110.238082711781</v>
      </c>
      <c r="H8" s="9">
        <f t="shared" si="13"/>
        <v>63432.065341922593</v>
      </c>
      <c r="I8" s="9">
        <f t="shared" si="14"/>
        <v>65842.211419884319</v>
      </c>
      <c r="J8" s="129">
        <f t="shared" si="2"/>
        <v>63461.504948172893</v>
      </c>
      <c r="K8" s="139">
        <f t="shared" si="15"/>
        <v>71549.948091931437</v>
      </c>
      <c r="L8" s="10">
        <f t="shared" si="16"/>
        <v>74268.677994444559</v>
      </c>
      <c r="M8" s="10">
        <f t="shared" si="17"/>
        <v>77316.209282427968</v>
      </c>
      <c r="N8" s="138">
        <f t="shared" si="4"/>
        <v>74378.278456267988</v>
      </c>
      <c r="O8" s="139">
        <f t="shared" si="18"/>
        <v>100152.47638138456</v>
      </c>
      <c r="P8" s="10">
        <f t="shared" si="19"/>
        <v>103961.89049136381</v>
      </c>
      <c r="Q8" s="10">
        <f t="shared" si="20"/>
        <v>107908.57119916075</v>
      </c>
      <c r="R8" s="10">
        <f t="shared" si="21"/>
        <v>111150.8295212576</v>
      </c>
      <c r="S8" s="10">
        <f t="shared" si="22"/>
        <v>114515.45729102139</v>
      </c>
      <c r="T8" s="129">
        <f t="shared" si="23"/>
        <v>107537.84497683763</v>
      </c>
      <c r="U8" s="139">
        <f t="shared" si="24"/>
        <v>133967.94314144895</v>
      </c>
      <c r="V8" s="10">
        <f t="shared" si="25"/>
        <v>157590.56695193477</v>
      </c>
      <c r="W8" s="18">
        <f t="shared" si="6"/>
        <v>145779.25504669186</v>
      </c>
      <c r="X8" s="51"/>
      <c r="Y8" s="51"/>
    </row>
    <row r="9" spans="1:25" x14ac:dyDescent="0.25">
      <c r="A9" s="146" t="s">
        <v>1</v>
      </c>
      <c r="B9" s="139">
        <f t="shared" si="7"/>
        <v>55526.17435896978</v>
      </c>
      <c r="C9" s="10">
        <f t="shared" si="8"/>
        <v>57637.845392839568</v>
      </c>
      <c r="D9" s="10">
        <f t="shared" si="9"/>
        <v>59827.088015708643</v>
      </c>
      <c r="E9" s="10">
        <f t="shared" si="10"/>
        <v>62103.598676201931</v>
      </c>
      <c r="F9" s="138">
        <f t="shared" si="11"/>
        <v>58773.676610929979</v>
      </c>
      <c r="G9" s="130">
        <f t="shared" si="12"/>
        <v>61874.116058745676</v>
      </c>
      <c r="H9" s="9">
        <f t="shared" si="13"/>
        <v>64224.966158696625</v>
      </c>
      <c r="I9" s="9">
        <f t="shared" si="14"/>
        <v>66665.239062632871</v>
      </c>
      <c r="J9" s="129">
        <f t="shared" si="2"/>
        <v>64254.773760025062</v>
      </c>
      <c r="K9" s="139">
        <f t="shared" si="15"/>
        <v>72444.322443080571</v>
      </c>
      <c r="L9" s="10">
        <f t="shared" si="16"/>
        <v>75197.036469375118</v>
      </c>
      <c r="M9" s="10">
        <f t="shared" si="17"/>
        <v>78282.661898458318</v>
      </c>
      <c r="N9" s="138">
        <f t="shared" si="4"/>
        <v>75308.006936971331</v>
      </c>
      <c r="O9" s="139">
        <f t="shared" si="18"/>
        <v>101404.38233615187</v>
      </c>
      <c r="P9" s="10">
        <f t="shared" si="19"/>
        <v>105261.41412250586</v>
      </c>
      <c r="Q9" s="10">
        <f t="shared" si="20"/>
        <v>109257.42833915025</v>
      </c>
      <c r="R9" s="10">
        <f t="shared" si="21"/>
        <v>112540.21489027332</v>
      </c>
      <c r="S9" s="10">
        <f t="shared" si="22"/>
        <v>115946.90050715915</v>
      </c>
      <c r="T9" s="129">
        <f t="shared" si="23"/>
        <v>108882.06803904808</v>
      </c>
      <c r="U9" s="139">
        <f t="shared" si="24"/>
        <v>135642.54243071706</v>
      </c>
      <c r="V9" s="10">
        <f t="shared" si="25"/>
        <v>159560.44903883396</v>
      </c>
      <c r="W9" s="18">
        <f t="shared" si="6"/>
        <v>147601.4957347755</v>
      </c>
      <c r="X9" s="51"/>
      <c r="Y9" s="51"/>
    </row>
    <row r="10" spans="1:25" x14ac:dyDescent="0.25">
      <c r="A10" s="146" t="s">
        <v>2</v>
      </c>
      <c r="B10" s="139">
        <f t="shared" si="7"/>
        <v>56220.251538456898</v>
      </c>
      <c r="C10" s="10">
        <f t="shared" si="8"/>
        <v>58358.318460250062</v>
      </c>
      <c r="D10" s="10">
        <f t="shared" si="9"/>
        <v>60574.926615904995</v>
      </c>
      <c r="E10" s="10">
        <f t="shared" si="10"/>
        <v>62879.893659654452</v>
      </c>
      <c r="F10" s="138">
        <f t="shared" si="11"/>
        <v>59508.347568566598</v>
      </c>
      <c r="G10" s="130">
        <f t="shared" si="12"/>
        <v>62647.542509479994</v>
      </c>
      <c r="H10" s="9">
        <f t="shared" si="13"/>
        <v>65027.778235680329</v>
      </c>
      <c r="I10" s="9">
        <f t="shared" si="14"/>
        <v>67498.554550915782</v>
      </c>
      <c r="J10" s="129">
        <f t="shared" si="2"/>
        <v>65057.958432025371</v>
      </c>
      <c r="K10" s="139">
        <f t="shared" si="15"/>
        <v>73349.876473619079</v>
      </c>
      <c r="L10" s="10">
        <f t="shared" si="16"/>
        <v>76136.999425242306</v>
      </c>
      <c r="M10" s="10">
        <f t="shared" si="17"/>
        <v>79261.195172189051</v>
      </c>
      <c r="N10" s="138">
        <f t="shared" si="4"/>
        <v>76249.357023683478</v>
      </c>
      <c r="O10" s="139">
        <f t="shared" si="18"/>
        <v>102671.93711535376</v>
      </c>
      <c r="P10" s="10">
        <f t="shared" si="19"/>
        <v>106577.18179903718</v>
      </c>
      <c r="Q10" s="10">
        <f t="shared" si="20"/>
        <v>110623.14619338962</v>
      </c>
      <c r="R10" s="10">
        <f t="shared" si="21"/>
        <v>113946.96757640173</v>
      </c>
      <c r="S10" s="10">
        <f t="shared" si="22"/>
        <v>117396.23676349864</v>
      </c>
      <c r="T10" s="129">
        <f t="shared" si="23"/>
        <v>110243.09388953619</v>
      </c>
      <c r="U10" s="139">
        <f t="shared" si="24"/>
        <v>137338.07421110102</v>
      </c>
      <c r="V10" s="10">
        <f t="shared" si="25"/>
        <v>161554.95465181937</v>
      </c>
      <c r="W10" s="18">
        <f t="shared" si="6"/>
        <v>149446.51443146018</v>
      </c>
      <c r="X10" s="51"/>
      <c r="Y10" s="51"/>
    </row>
    <row r="11" spans="1:25" x14ac:dyDescent="0.25">
      <c r="A11" s="146" t="s">
        <v>3</v>
      </c>
      <c r="B11" s="139">
        <f t="shared" si="7"/>
        <v>56923.004682687606</v>
      </c>
      <c r="C11" s="10">
        <f t="shared" si="8"/>
        <v>59087.797441003182</v>
      </c>
      <c r="D11" s="10">
        <f t="shared" si="9"/>
        <v>61332.113198603802</v>
      </c>
      <c r="E11" s="10">
        <f t="shared" si="10"/>
        <v>63665.892330400129</v>
      </c>
      <c r="F11" s="138">
        <f t="shared" si="11"/>
        <v>60252.201913173674</v>
      </c>
      <c r="G11" s="130">
        <f t="shared" si="12"/>
        <v>63430.63679084849</v>
      </c>
      <c r="H11" s="9">
        <f t="shared" si="13"/>
        <v>65840.625463626333</v>
      </c>
      <c r="I11" s="9">
        <f t="shared" si="14"/>
        <v>68342.286482802228</v>
      </c>
      <c r="J11" s="129">
        <f t="shared" si="2"/>
        <v>65871.182912425676</v>
      </c>
      <c r="K11" s="139">
        <f t="shared" si="15"/>
        <v>74266.749929539321</v>
      </c>
      <c r="L11" s="10">
        <f t="shared" si="16"/>
        <v>77088.71191805783</v>
      </c>
      <c r="M11" s="10">
        <f t="shared" si="17"/>
        <v>80251.960111841414</v>
      </c>
      <c r="N11" s="138">
        <f t="shared" si="4"/>
        <v>77202.473986479527</v>
      </c>
      <c r="O11" s="139">
        <f t="shared" si="18"/>
        <v>103955.33632929568</v>
      </c>
      <c r="P11" s="10">
        <f t="shared" si="19"/>
        <v>107909.39657152514</v>
      </c>
      <c r="Q11" s="10">
        <f t="shared" si="20"/>
        <v>112005.93552080699</v>
      </c>
      <c r="R11" s="10">
        <f t="shared" si="21"/>
        <v>115371.30467110674</v>
      </c>
      <c r="S11" s="10">
        <f t="shared" si="22"/>
        <v>118863.68972304238</v>
      </c>
      <c r="T11" s="129">
        <f t="shared" si="23"/>
        <v>111621.13256315541</v>
      </c>
      <c r="U11" s="139">
        <f t="shared" si="24"/>
        <v>139054.80013873978</v>
      </c>
      <c r="V11" s="10">
        <f t="shared" si="25"/>
        <v>163574.39158496709</v>
      </c>
      <c r="W11" s="18">
        <f t="shared" si="6"/>
        <v>151314.59586185345</v>
      </c>
      <c r="X11" s="51"/>
      <c r="Y11" s="51"/>
    </row>
    <row r="12" spans="1:25" x14ac:dyDescent="0.25">
      <c r="A12" s="146" t="s">
        <v>4</v>
      </c>
      <c r="B12" s="139">
        <f t="shared" si="7"/>
        <v>57634.542241221199</v>
      </c>
      <c r="C12" s="10">
        <f t="shared" si="8"/>
        <v>59826.394909015718</v>
      </c>
      <c r="D12" s="10">
        <f t="shared" si="9"/>
        <v>62098.764613586347</v>
      </c>
      <c r="E12" s="10">
        <f t="shared" si="10"/>
        <v>64461.715984530128</v>
      </c>
      <c r="F12" s="138">
        <f t="shared" si="11"/>
        <v>61005.354437088354</v>
      </c>
      <c r="G12" s="130">
        <f t="shared" si="12"/>
        <v>64223.519750734093</v>
      </c>
      <c r="H12" s="9">
        <f t="shared" si="13"/>
        <v>66663.633281921662</v>
      </c>
      <c r="I12" s="9">
        <f t="shared" si="14"/>
        <v>69196.565063837246</v>
      </c>
      <c r="J12" s="129">
        <f t="shared" si="2"/>
        <v>66694.572698830991</v>
      </c>
      <c r="K12" s="139">
        <f t="shared" si="15"/>
        <v>75195.084303658557</v>
      </c>
      <c r="L12" s="10">
        <f t="shared" si="16"/>
        <v>78052.320817033557</v>
      </c>
      <c r="M12" s="10">
        <f t="shared" si="17"/>
        <v>81255.10961323943</v>
      </c>
      <c r="N12" s="138">
        <f t="shared" si="4"/>
        <v>78167.504911310505</v>
      </c>
      <c r="O12" s="139">
        <f t="shared" si="18"/>
        <v>105254.77803341187</v>
      </c>
      <c r="P12" s="10">
        <f t="shared" si="19"/>
        <v>109258.2640286692</v>
      </c>
      <c r="Q12" s="10">
        <f t="shared" si="20"/>
        <v>113406.00971481708</v>
      </c>
      <c r="R12" s="10">
        <f t="shared" si="21"/>
        <v>116813.44597949558</v>
      </c>
      <c r="S12" s="10">
        <f t="shared" si="22"/>
        <v>120349.4858445804</v>
      </c>
      <c r="T12" s="129">
        <f t="shared" si="23"/>
        <v>113016.39672019481</v>
      </c>
      <c r="U12" s="139">
        <f t="shared" si="24"/>
        <v>140792.98514047402</v>
      </c>
      <c r="V12" s="10">
        <f t="shared" si="25"/>
        <v>165619.07147977917</v>
      </c>
      <c r="W12" s="18">
        <f t="shared" si="6"/>
        <v>153206.0283101266</v>
      </c>
      <c r="X12" s="51"/>
      <c r="Y12" s="51"/>
    </row>
    <row r="13" spans="1:25" x14ac:dyDescent="0.25">
      <c r="A13" s="146" t="s">
        <v>5</v>
      </c>
      <c r="B13" s="139">
        <f t="shared" si="7"/>
        <v>58354.974019236462</v>
      </c>
      <c r="C13" s="10">
        <f t="shared" si="8"/>
        <v>60574.224845378412</v>
      </c>
      <c r="D13" s="10">
        <f t="shared" si="9"/>
        <v>62874.999171256175</v>
      </c>
      <c r="E13" s="10">
        <f t="shared" si="10"/>
        <v>65267.487434336756</v>
      </c>
      <c r="F13" s="138">
        <f t="shared" si="11"/>
        <v>61767.921367551957</v>
      </c>
      <c r="G13" s="130">
        <f t="shared" si="12"/>
        <v>65026.313747618267</v>
      </c>
      <c r="H13" s="9">
        <f t="shared" si="13"/>
        <v>67496.928697945681</v>
      </c>
      <c r="I13" s="9">
        <f t="shared" si="14"/>
        <v>70061.522127135206</v>
      </c>
      <c r="J13" s="129">
        <f t="shared" si="2"/>
        <v>67528.254857566382</v>
      </c>
      <c r="K13" s="139">
        <f t="shared" si="15"/>
        <v>76135.022857454285</v>
      </c>
      <c r="L13" s="10">
        <f t="shared" si="16"/>
        <v>79027.974827246479</v>
      </c>
      <c r="M13" s="10">
        <f t="shared" si="17"/>
        <v>82270.798483404913</v>
      </c>
      <c r="N13" s="138">
        <f t="shared" si="4"/>
        <v>79144.598722701892</v>
      </c>
      <c r="O13" s="139">
        <f t="shared" si="18"/>
        <v>106570.46275882951</v>
      </c>
      <c r="P13" s="10">
        <f t="shared" si="19"/>
        <v>110623.99232902756</v>
      </c>
      <c r="Q13" s="10">
        <f t="shared" si="20"/>
        <v>114823.58483625228</v>
      </c>
      <c r="R13" s="10">
        <f t="shared" si="21"/>
        <v>118273.61405423927</v>
      </c>
      <c r="S13" s="10">
        <f t="shared" si="22"/>
        <v>121853.85441763765</v>
      </c>
      <c r="T13" s="129">
        <f t="shared" si="23"/>
        <v>114429.10167919725</v>
      </c>
      <c r="U13" s="139">
        <f t="shared" si="24"/>
        <v>142552.89745472994</v>
      </c>
      <c r="V13" s="10">
        <f t="shared" si="25"/>
        <v>167689.30987327642</v>
      </c>
      <c r="W13" s="18">
        <f t="shared" si="6"/>
        <v>155121.1036640032</v>
      </c>
      <c r="X13" s="51"/>
      <c r="Y13" s="51"/>
    </row>
    <row r="14" spans="1:25" x14ac:dyDescent="0.25">
      <c r="A14" s="146" t="s">
        <v>6</v>
      </c>
      <c r="B14" s="139">
        <f t="shared" si="7"/>
        <v>59084.411194476917</v>
      </c>
      <c r="C14" s="10">
        <f t="shared" si="8"/>
        <v>61331.40265594564</v>
      </c>
      <c r="D14" s="10">
        <f t="shared" si="9"/>
        <v>63660.936660896878</v>
      </c>
      <c r="E14" s="10">
        <f t="shared" si="10"/>
        <v>66083.331027265958</v>
      </c>
      <c r="F14" s="138">
        <f t="shared" si="11"/>
        <v>62540.020384646348</v>
      </c>
      <c r="G14" s="130">
        <f t="shared" si="12"/>
        <v>65839.142669463487</v>
      </c>
      <c r="H14" s="9">
        <f t="shared" si="13"/>
        <v>68340.64030667</v>
      </c>
      <c r="I14" s="9">
        <f t="shared" si="14"/>
        <v>70937.291153724393</v>
      </c>
      <c r="J14" s="129">
        <f t="shared" si="2"/>
        <v>68372.35804328596</v>
      </c>
      <c r="K14" s="139">
        <f t="shared" si="15"/>
        <v>77086.710643172453</v>
      </c>
      <c r="L14" s="10">
        <f t="shared" si="16"/>
        <v>80015.82451258706</v>
      </c>
      <c r="M14" s="10">
        <f t="shared" si="17"/>
        <v>83299.183464447473</v>
      </c>
      <c r="N14" s="138">
        <f t="shared" si="4"/>
        <v>80133.906206735657</v>
      </c>
      <c r="O14" s="139">
        <f t="shared" si="18"/>
        <v>107902.59354331487</v>
      </c>
      <c r="P14" s="10">
        <f t="shared" si="19"/>
        <v>112006.7922331404</v>
      </c>
      <c r="Q14" s="10">
        <f t="shared" si="20"/>
        <v>116258.87964670543</v>
      </c>
      <c r="R14" s="10">
        <f t="shared" si="21"/>
        <v>119752.03422991725</v>
      </c>
      <c r="S14" s="10">
        <f t="shared" si="22"/>
        <v>123377.0275978581</v>
      </c>
      <c r="T14" s="129">
        <f t="shared" si="23"/>
        <v>115859.46545018721</v>
      </c>
      <c r="U14" s="139">
        <f t="shared" si="24"/>
        <v>144334.80867291405</v>
      </c>
      <c r="V14" s="10">
        <f t="shared" si="25"/>
        <v>169785.42624669237</v>
      </c>
      <c r="W14" s="18">
        <f t="shared" si="6"/>
        <v>157060.11745980321</v>
      </c>
      <c r="X14" s="51"/>
      <c r="Y14" s="51"/>
    </row>
    <row r="15" spans="1:25" x14ac:dyDescent="0.25">
      <c r="A15" s="146" t="s">
        <v>7</v>
      </c>
      <c r="B15" s="139">
        <f t="shared" si="7"/>
        <v>59822.96633440788</v>
      </c>
      <c r="C15" s="10">
        <f t="shared" si="8"/>
        <v>62098.045189144956</v>
      </c>
      <c r="D15" s="10">
        <f t="shared" si="9"/>
        <v>64456.698369158083</v>
      </c>
      <c r="E15" s="10">
        <f t="shared" si="10"/>
        <v>66909.372665106785</v>
      </c>
      <c r="F15" s="138">
        <f t="shared" si="11"/>
        <v>63321.770639454422</v>
      </c>
      <c r="G15" s="130">
        <f t="shared" si="12"/>
        <v>66662.131952831784</v>
      </c>
      <c r="H15" s="9">
        <f t="shared" si="13"/>
        <v>69194.898310503369</v>
      </c>
      <c r="I15" s="9">
        <f t="shared" si="14"/>
        <v>71824.007293145944</v>
      </c>
      <c r="J15" s="129">
        <f t="shared" si="2"/>
        <v>69227.012518827032</v>
      </c>
      <c r="K15" s="139">
        <f t="shared" si="15"/>
        <v>78050.294526212107</v>
      </c>
      <c r="L15" s="10">
        <f t="shared" si="16"/>
        <v>81016.022318994394</v>
      </c>
      <c r="M15" s="10">
        <f t="shared" si="17"/>
        <v>84340.423257753064</v>
      </c>
      <c r="N15" s="138">
        <f t="shared" si="4"/>
        <v>81135.58003431985</v>
      </c>
      <c r="O15" s="139">
        <f t="shared" si="18"/>
        <v>109251.3759626063</v>
      </c>
      <c r="P15" s="10">
        <f t="shared" si="19"/>
        <v>113406.87713605465</v>
      </c>
      <c r="Q15" s="10">
        <f t="shared" si="20"/>
        <v>117712.11564228925</v>
      </c>
      <c r="R15" s="10">
        <f t="shared" si="21"/>
        <v>121248.93465779121</v>
      </c>
      <c r="S15" s="10">
        <f t="shared" si="22"/>
        <v>124919.24044283133</v>
      </c>
      <c r="T15" s="129">
        <f t="shared" si="23"/>
        <v>117307.70876831457</v>
      </c>
      <c r="U15" s="139">
        <f t="shared" si="24"/>
        <v>146138.99378132547</v>
      </c>
      <c r="V15" s="10">
        <f t="shared" si="25"/>
        <v>171907.74407477601</v>
      </c>
      <c r="W15" s="18">
        <f t="shared" si="6"/>
        <v>159023.36892805074</v>
      </c>
      <c r="X15" s="51"/>
      <c r="Y15" s="51"/>
    </row>
    <row r="16" spans="1:25" x14ac:dyDescent="0.25">
      <c r="A16" s="146" t="s">
        <v>8</v>
      </c>
      <c r="B16" s="139">
        <f t="shared" si="7"/>
        <v>60570.753413587976</v>
      </c>
      <c r="C16" s="10">
        <f t="shared" si="8"/>
        <v>62874.270754009267</v>
      </c>
      <c r="D16" s="10">
        <f t="shared" si="9"/>
        <v>65262.407098772557</v>
      </c>
      <c r="E16" s="10">
        <f t="shared" si="10"/>
        <v>67745.739823420619</v>
      </c>
      <c r="F16" s="138">
        <f t="shared" si="11"/>
        <v>64113.292772447603</v>
      </c>
      <c r="G16" s="130">
        <f t="shared" si="12"/>
        <v>67495.408602242183</v>
      </c>
      <c r="H16" s="9">
        <f t="shared" si="13"/>
        <v>70059.834539384654</v>
      </c>
      <c r="I16" s="9">
        <f t="shared" si="14"/>
        <v>72721.807384310261</v>
      </c>
      <c r="J16" s="129">
        <f t="shared" si="2"/>
        <v>70092.350175312356</v>
      </c>
      <c r="K16" s="139">
        <f t="shared" si="15"/>
        <v>79025.923207789761</v>
      </c>
      <c r="L16" s="10">
        <f t="shared" si="16"/>
        <v>82028.722597981818</v>
      </c>
      <c r="M16" s="10">
        <f t="shared" si="17"/>
        <v>85394.678548474971</v>
      </c>
      <c r="N16" s="138">
        <f t="shared" si="4"/>
        <v>82149.77478474885</v>
      </c>
      <c r="O16" s="139">
        <f t="shared" si="18"/>
        <v>110617.01816213888</v>
      </c>
      <c r="P16" s="10">
        <f t="shared" si="19"/>
        <v>114824.46310025534</v>
      </c>
      <c r="Q16" s="10">
        <f t="shared" si="20"/>
        <v>119183.51708781786</v>
      </c>
      <c r="R16" s="10">
        <f t="shared" si="21"/>
        <v>122764.54634101359</v>
      </c>
      <c r="S16" s="10">
        <f t="shared" si="22"/>
        <v>126480.73094836672</v>
      </c>
      <c r="T16" s="129">
        <f t="shared" si="23"/>
        <v>118774.05512791849</v>
      </c>
      <c r="U16" s="139">
        <f t="shared" si="24"/>
        <v>147965.73120359203</v>
      </c>
      <c r="V16" s="10">
        <f t="shared" si="25"/>
        <v>174056.59087571071</v>
      </c>
      <c r="W16" s="18">
        <f t="shared" si="6"/>
        <v>161011.16103965137</v>
      </c>
      <c r="X16" s="51"/>
      <c r="Y16" s="51"/>
    </row>
    <row r="17" spans="1:25" x14ac:dyDescent="0.25">
      <c r="A17" s="146" t="s">
        <v>9</v>
      </c>
      <c r="B17" s="139">
        <f t="shared" si="7"/>
        <v>61327.887831257824</v>
      </c>
      <c r="C17" s="10">
        <f t="shared" si="8"/>
        <v>63660.199138434378</v>
      </c>
      <c r="D17" s="10">
        <f t="shared" si="9"/>
        <v>66078.18718750721</v>
      </c>
      <c r="E17" s="10">
        <f t="shared" si="10"/>
        <v>68592.561571213373</v>
      </c>
      <c r="F17" s="138">
        <f t="shared" si="11"/>
        <v>64914.708932103196</v>
      </c>
      <c r="G17" s="130">
        <f t="shared" si="12"/>
        <v>68339.101209770204</v>
      </c>
      <c r="H17" s="9">
        <f t="shared" si="13"/>
        <v>70935.582471126952</v>
      </c>
      <c r="I17" s="9">
        <f t="shared" si="14"/>
        <v>73630.829976614143</v>
      </c>
      <c r="J17" s="129">
        <f t="shared" si="2"/>
        <v>70968.504552503771</v>
      </c>
      <c r="K17" s="139">
        <f t="shared" si="15"/>
        <v>80013.747247887135</v>
      </c>
      <c r="L17" s="10">
        <f t="shared" si="16"/>
        <v>83054.081630456581</v>
      </c>
      <c r="M17" s="10">
        <f t="shared" si="17"/>
        <v>86462.1120303309</v>
      </c>
      <c r="N17" s="138">
        <f t="shared" si="4"/>
        <v>83176.646969558205</v>
      </c>
      <c r="O17" s="139">
        <f t="shared" si="18"/>
        <v>111999.73088916561</v>
      </c>
      <c r="P17" s="10">
        <f t="shared" si="19"/>
        <v>116259.76888900853</v>
      </c>
      <c r="Q17" s="10">
        <f t="shared" si="20"/>
        <v>120673.31105141559</v>
      </c>
      <c r="R17" s="10">
        <f t="shared" si="21"/>
        <v>124299.10317027626</v>
      </c>
      <c r="S17" s="10">
        <f t="shared" si="22"/>
        <v>128061.7400852213</v>
      </c>
      <c r="T17" s="129">
        <f t="shared" si="23"/>
        <v>120258.73081701747</v>
      </c>
      <c r="U17" s="139">
        <f t="shared" si="24"/>
        <v>149815.30284363692</v>
      </c>
      <c r="V17" s="10">
        <f t="shared" si="25"/>
        <v>176232.2982616571</v>
      </c>
      <c r="W17" s="18">
        <f t="shared" si="6"/>
        <v>163023.80055264701</v>
      </c>
      <c r="X17" s="51"/>
      <c r="Y17" s="51"/>
    </row>
    <row r="18" spans="1:25" x14ac:dyDescent="0.25">
      <c r="A18" s="147" t="s">
        <v>10</v>
      </c>
      <c r="B18" s="140">
        <f t="shared" si="7"/>
        <v>62094.486429148543</v>
      </c>
      <c r="C18" s="141">
        <f t="shared" si="8"/>
        <v>64455.951627664806</v>
      </c>
      <c r="D18" s="141">
        <f t="shared" si="9"/>
        <v>66904.164527351051</v>
      </c>
      <c r="E18" s="141">
        <f t="shared" si="10"/>
        <v>69449.968590853532</v>
      </c>
      <c r="F18" s="142">
        <f t="shared" si="11"/>
        <v>65726.142793754494</v>
      </c>
      <c r="G18" s="131">
        <f t="shared" si="12"/>
        <v>69193.339974892326</v>
      </c>
      <c r="H18" s="132">
        <f t="shared" si="13"/>
        <v>71822.277252016036</v>
      </c>
      <c r="I18" s="132">
        <f t="shared" si="14"/>
        <v>74551.215351321822</v>
      </c>
      <c r="J18" s="133">
        <f t="shared" si="2"/>
        <v>71855.610859410066</v>
      </c>
      <c r="K18" s="140">
        <f t="shared" si="15"/>
        <v>81013.919088485723</v>
      </c>
      <c r="L18" s="141">
        <f t="shared" si="16"/>
        <v>84092.257650837288</v>
      </c>
      <c r="M18" s="141">
        <f t="shared" si="17"/>
        <v>87542.888430710038</v>
      </c>
      <c r="N18" s="142">
        <f t="shared" si="4"/>
        <v>84216.355056677683</v>
      </c>
      <c r="O18" s="140">
        <f t="shared" si="18"/>
        <v>113399.72752528018</v>
      </c>
      <c r="P18" s="141">
        <f t="shared" si="19"/>
        <v>117713.01600012113</v>
      </c>
      <c r="Q18" s="141">
        <f t="shared" si="20"/>
        <v>122181.72743955828</v>
      </c>
      <c r="R18" s="141">
        <f t="shared" si="21"/>
        <v>125852.8419599047</v>
      </c>
      <c r="S18" s="141">
        <f t="shared" si="22"/>
        <v>129662.51183628656</v>
      </c>
      <c r="T18" s="133">
        <f t="shared" si="23"/>
        <v>121761.96495223018</v>
      </c>
      <c r="U18" s="140">
        <f t="shared" si="24"/>
        <v>151687.99412918236</v>
      </c>
      <c r="V18" s="141">
        <f t="shared" si="25"/>
        <v>178435.20198992779</v>
      </c>
      <c r="W18" s="148">
        <f t="shared" si="6"/>
        <v>165061.59805955508</v>
      </c>
      <c r="X18" s="51"/>
      <c r="Y18" s="51"/>
    </row>
    <row r="19" spans="1:25" x14ac:dyDescent="0.25">
      <c r="A19" s="40" t="s">
        <v>113</v>
      </c>
      <c r="B19" s="162" t="s">
        <v>48</v>
      </c>
      <c r="C19" s="162"/>
      <c r="D19" s="162"/>
      <c r="E19" s="162"/>
      <c r="F19" s="162"/>
      <c r="G19" s="162"/>
      <c r="H19" s="16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21"/>
      <c r="X19" s="51"/>
      <c r="Y19" s="51"/>
    </row>
    <row r="20" spans="1:25" x14ac:dyDescent="0.25">
      <c r="A20" s="40"/>
      <c r="B20" s="110" t="s">
        <v>52</v>
      </c>
      <c r="C20" s="2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7"/>
      <c r="X20" s="51"/>
      <c r="Y20" s="51"/>
    </row>
    <row r="21" spans="1:25" x14ac:dyDescent="0.25">
      <c r="A21" s="40"/>
      <c r="B21" s="110" t="s">
        <v>53</v>
      </c>
      <c r="C21" s="26"/>
      <c r="D21" s="26"/>
      <c r="E21" s="26"/>
      <c r="F21" s="26"/>
      <c r="G21" s="2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7"/>
      <c r="X21" s="51"/>
      <c r="Y21" s="51"/>
    </row>
    <row r="22" spans="1:25" ht="15.75" thickBot="1" x14ac:dyDescent="0.3">
      <c r="A22" s="122" t="s">
        <v>37</v>
      </c>
      <c r="B22" s="123"/>
      <c r="C22" s="124">
        <v>1.2500000000000001E-2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51"/>
      <c r="Y22" s="51"/>
    </row>
    <row r="23" spans="1:25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x14ac:dyDescent="0.25">
      <c r="A26" s="55"/>
      <c r="B26" s="55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55"/>
      <c r="V26" s="55"/>
      <c r="W26" s="55"/>
      <c r="X26" s="55"/>
      <c r="Y26" s="55"/>
    </row>
    <row r="27" spans="1:25" x14ac:dyDescent="0.25">
      <c r="A27" s="55"/>
      <c r="B27" s="10"/>
      <c r="C27" s="10"/>
      <c r="D27" s="55"/>
      <c r="E27" s="55"/>
      <c r="F27" s="55"/>
      <c r="G27" s="10"/>
      <c r="H27" s="55"/>
      <c r="I27" s="55"/>
      <c r="J27" s="55"/>
      <c r="K27" s="10"/>
      <c r="L27" s="55"/>
      <c r="M27" s="55"/>
      <c r="N27" s="55"/>
      <c r="O27" s="10"/>
      <c r="P27" s="55"/>
      <c r="Q27" s="55"/>
      <c r="R27" s="55"/>
      <c r="S27" s="55"/>
      <c r="T27" s="55"/>
      <c r="U27" s="55"/>
      <c r="V27" s="55"/>
      <c r="W27" s="55"/>
      <c r="X27" s="55"/>
      <c r="Y27" s="55"/>
    </row>
  </sheetData>
  <mergeCells count="6">
    <mergeCell ref="B19:H19"/>
    <mergeCell ref="U1:W1"/>
    <mergeCell ref="O1:T1"/>
    <mergeCell ref="K1:N1"/>
    <mergeCell ref="G1:J1"/>
    <mergeCell ref="B1:F1"/>
  </mergeCells>
  <hyperlinks>
    <hyperlink ref="B20" r:id="rId1" xr:uid="{31F8307E-4BE4-4B35-819A-264ED46C6FD5}"/>
    <hyperlink ref="B21" r:id="rId2" xr:uid="{15673F51-14E8-4521-9928-BE0B2F89ECE9}"/>
  </hyperlinks>
  <pageMargins left="0.7" right="0.7" top="0.75" bottom="0.75" header="0.3" footer="0.3"/>
  <pageSetup orientation="portrait" r:id="rId3"/>
  <ignoredErrors>
    <ignoredError sqref="T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B112-F61D-46BF-97D9-E668FEB767F2}">
  <sheetPr>
    <tabColor theme="8"/>
  </sheetPr>
  <dimension ref="A1:E10"/>
  <sheetViews>
    <sheetView workbookViewId="0">
      <selection activeCell="A6" sqref="A6"/>
    </sheetView>
  </sheetViews>
  <sheetFormatPr defaultRowHeight="15" x14ac:dyDescent="0.25"/>
  <cols>
    <col min="1" max="1" width="27.7109375" customWidth="1"/>
    <col min="3" max="3" width="14.7109375" customWidth="1"/>
  </cols>
  <sheetData>
    <row r="1" spans="1:5" ht="36" customHeight="1" x14ac:dyDescent="0.25">
      <c r="A1" s="107" t="s">
        <v>54</v>
      </c>
      <c r="B1" s="108" t="s">
        <v>55</v>
      </c>
      <c r="C1" s="108" t="s">
        <v>56</v>
      </c>
      <c r="D1" s="49"/>
      <c r="E1" s="50"/>
    </row>
    <row r="2" spans="1:5" x14ac:dyDescent="0.25">
      <c r="A2" s="109" t="s">
        <v>57</v>
      </c>
      <c r="B2" s="64">
        <v>0.15</v>
      </c>
      <c r="C2" s="64">
        <v>450</v>
      </c>
      <c r="D2" s="36"/>
      <c r="E2" s="37"/>
    </row>
    <row r="3" spans="1:5" x14ac:dyDescent="0.25">
      <c r="A3" s="109" t="s">
        <v>58</v>
      </c>
      <c r="B3" s="64">
        <v>0.18</v>
      </c>
      <c r="C3" s="64">
        <v>540</v>
      </c>
      <c r="D3" s="36"/>
      <c r="E3" s="37"/>
    </row>
    <row r="4" spans="1:5" x14ac:dyDescent="0.25">
      <c r="A4" s="109" t="s">
        <v>59</v>
      </c>
      <c r="B4" s="64">
        <v>0.25</v>
      </c>
      <c r="C4" s="64">
        <v>750</v>
      </c>
      <c r="D4" s="36"/>
      <c r="E4" s="37"/>
    </row>
    <row r="5" spans="1:5" ht="15" customHeight="1" x14ac:dyDescent="0.25">
      <c r="A5" s="149" t="s">
        <v>113</v>
      </c>
      <c r="B5" s="169" t="s">
        <v>121</v>
      </c>
      <c r="C5" s="169"/>
      <c r="D5" s="169"/>
      <c r="E5" s="170"/>
    </row>
    <row r="6" spans="1:5" x14ac:dyDescent="0.25">
      <c r="A6" s="40"/>
      <c r="B6" s="169"/>
      <c r="C6" s="169"/>
      <c r="D6" s="169"/>
      <c r="E6" s="170"/>
    </row>
    <row r="7" spans="1:5" x14ac:dyDescent="0.25">
      <c r="A7" s="40"/>
      <c r="B7" s="169"/>
      <c r="C7" s="169"/>
      <c r="D7" s="169"/>
      <c r="E7" s="170"/>
    </row>
    <row r="8" spans="1:5" x14ac:dyDescent="0.25">
      <c r="A8" s="40"/>
      <c r="B8" s="171" t="s">
        <v>122</v>
      </c>
      <c r="C8" s="171"/>
      <c r="D8" s="171"/>
      <c r="E8" s="172"/>
    </row>
    <row r="9" spans="1:5" x14ac:dyDescent="0.25">
      <c r="A9" s="40"/>
      <c r="B9" s="171"/>
      <c r="C9" s="171"/>
      <c r="D9" s="171"/>
      <c r="E9" s="172"/>
    </row>
    <row r="10" spans="1:5" ht="15.75" thickBot="1" x14ac:dyDescent="0.3">
      <c r="A10" s="45"/>
      <c r="B10" s="173"/>
      <c r="C10" s="173"/>
      <c r="D10" s="173"/>
      <c r="E10" s="174"/>
    </row>
  </sheetData>
  <mergeCells count="2">
    <mergeCell ref="B5:E7"/>
    <mergeCell ref="B8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5A8E-9446-4419-B103-4DEECE14377E}">
  <sheetPr>
    <tabColor theme="8"/>
  </sheetPr>
  <dimension ref="A1:H31"/>
  <sheetViews>
    <sheetView workbookViewId="0">
      <selection activeCell="N25" sqref="N25"/>
    </sheetView>
  </sheetViews>
  <sheetFormatPr defaultRowHeight="15" x14ac:dyDescent="0.25"/>
  <cols>
    <col min="1" max="1" width="9" customWidth="1"/>
    <col min="2" max="2" width="17.7109375" customWidth="1"/>
    <col min="3" max="3" width="12.5703125" customWidth="1"/>
  </cols>
  <sheetData>
    <row r="1" spans="1:8" ht="60" x14ac:dyDescent="0.25">
      <c r="A1" s="101" t="s">
        <v>69</v>
      </c>
      <c r="B1" s="152" t="s">
        <v>70</v>
      </c>
      <c r="C1" s="104"/>
      <c r="D1" s="49"/>
      <c r="E1" s="49"/>
      <c r="F1" s="49"/>
      <c r="G1" s="50"/>
    </row>
    <row r="2" spans="1:8" x14ac:dyDescent="0.25">
      <c r="A2" s="102">
        <v>1</v>
      </c>
      <c r="B2" s="100">
        <f>AVERAGE(B16:B17)</f>
        <v>0.56000000000000005</v>
      </c>
      <c r="C2" s="103"/>
      <c r="D2" s="36"/>
      <c r="E2" s="36"/>
      <c r="F2" s="36"/>
      <c r="G2" s="37"/>
    </row>
    <row r="3" spans="1:8" x14ac:dyDescent="0.25">
      <c r="A3" s="102">
        <v>2</v>
      </c>
      <c r="B3" s="100">
        <f>AVERAGE(B17:B18)</f>
        <v>0.24</v>
      </c>
      <c r="C3" s="103"/>
      <c r="D3" s="36"/>
      <c r="E3" s="36"/>
      <c r="F3" s="36"/>
      <c r="G3" s="37"/>
    </row>
    <row r="4" spans="1:8" x14ac:dyDescent="0.25">
      <c r="A4" s="102" t="s">
        <v>81</v>
      </c>
      <c r="B4" s="100">
        <v>0</v>
      </c>
      <c r="C4" s="36"/>
      <c r="D4" s="36"/>
      <c r="E4" s="36"/>
      <c r="F4" s="36"/>
      <c r="G4" s="37"/>
      <c r="H4" s="51"/>
    </row>
    <row r="5" spans="1:8" ht="15" customHeight="1" x14ac:dyDescent="0.25">
      <c r="A5" s="40" t="s">
        <v>113</v>
      </c>
      <c r="B5" s="171" t="s">
        <v>120</v>
      </c>
      <c r="C5" s="171"/>
      <c r="D5" s="171"/>
      <c r="E5" s="171"/>
      <c r="F5" s="171"/>
      <c r="G5" s="172"/>
      <c r="H5" s="151"/>
    </row>
    <row r="6" spans="1:8" x14ac:dyDescent="0.25">
      <c r="A6" s="40"/>
      <c r="B6" s="171"/>
      <c r="C6" s="171"/>
      <c r="D6" s="171"/>
      <c r="E6" s="171"/>
      <c r="F6" s="171"/>
      <c r="G6" s="172"/>
      <c r="H6" s="151"/>
    </row>
    <row r="7" spans="1:8" x14ac:dyDescent="0.25">
      <c r="A7" s="40"/>
      <c r="B7" s="171"/>
      <c r="C7" s="171"/>
      <c r="D7" s="171"/>
      <c r="E7" s="171"/>
      <c r="F7" s="171"/>
      <c r="G7" s="172"/>
      <c r="H7" s="151"/>
    </row>
    <row r="8" spans="1:8" x14ac:dyDescent="0.25">
      <c r="A8" s="40"/>
      <c r="B8" s="36"/>
      <c r="C8" s="36"/>
      <c r="D8" s="36"/>
      <c r="E8" s="36"/>
      <c r="F8" s="36"/>
      <c r="G8" s="37"/>
      <c r="H8" s="55"/>
    </row>
    <row r="9" spans="1:8" x14ac:dyDescent="0.25">
      <c r="A9" s="95" t="s">
        <v>102</v>
      </c>
      <c r="B9" s="36"/>
      <c r="C9" s="36"/>
      <c r="D9" s="36"/>
      <c r="E9" s="36"/>
      <c r="F9" s="36"/>
      <c r="G9" s="37"/>
      <c r="H9" s="55"/>
    </row>
    <row r="10" spans="1:8" x14ac:dyDescent="0.25">
      <c r="A10" s="181" t="s">
        <v>71</v>
      </c>
      <c r="B10" s="171"/>
      <c r="C10" s="171"/>
      <c r="D10" s="171"/>
      <c r="E10" s="171"/>
      <c r="F10" s="171"/>
      <c r="G10" s="37"/>
      <c r="H10" s="51"/>
    </row>
    <row r="11" spans="1:8" x14ac:dyDescent="0.25">
      <c r="A11" s="181"/>
      <c r="B11" s="171"/>
      <c r="C11" s="171"/>
      <c r="D11" s="171"/>
      <c r="E11" s="171"/>
      <c r="F11" s="171"/>
      <c r="G11" s="37"/>
      <c r="H11" s="51"/>
    </row>
    <row r="12" spans="1:8" x14ac:dyDescent="0.25">
      <c r="A12" s="56"/>
      <c r="B12" s="179" t="s">
        <v>72</v>
      </c>
      <c r="C12" s="180"/>
      <c r="D12" s="36"/>
      <c r="E12" s="36"/>
      <c r="F12" s="36"/>
      <c r="G12" s="37"/>
      <c r="H12" s="51"/>
    </row>
    <row r="13" spans="1:8" ht="57" customHeight="1" x14ac:dyDescent="0.25">
      <c r="A13" s="153" t="s">
        <v>73</v>
      </c>
      <c r="B13" s="154" t="s">
        <v>74</v>
      </c>
      <c r="C13" s="154" t="s">
        <v>75</v>
      </c>
      <c r="D13" s="36"/>
      <c r="E13" s="36"/>
      <c r="F13" s="36"/>
      <c r="G13" s="37"/>
      <c r="H13" s="51"/>
    </row>
    <row r="14" spans="1:8" x14ac:dyDescent="0.25">
      <c r="A14" s="56" t="s">
        <v>76</v>
      </c>
      <c r="B14" s="52"/>
      <c r="C14" s="52"/>
      <c r="D14" s="36"/>
      <c r="E14" s="36"/>
      <c r="F14" s="36"/>
      <c r="G14" s="37"/>
    </row>
    <row r="15" spans="1:8" x14ac:dyDescent="0.25">
      <c r="A15" s="56" t="s">
        <v>77</v>
      </c>
      <c r="B15" s="155">
        <v>0.8</v>
      </c>
      <c r="C15" s="155">
        <v>0.2</v>
      </c>
      <c r="D15" s="36"/>
      <c r="E15" s="36"/>
      <c r="F15" s="36"/>
      <c r="G15" s="37"/>
    </row>
    <row r="16" spans="1:8" x14ac:dyDescent="0.25">
      <c r="A16" s="156" t="s">
        <v>78</v>
      </c>
      <c r="B16" s="155">
        <v>0.64</v>
      </c>
      <c r="C16" s="155">
        <v>0.36</v>
      </c>
      <c r="D16" s="36"/>
      <c r="E16" s="36"/>
      <c r="F16" s="36"/>
      <c r="G16" s="37"/>
    </row>
    <row r="17" spans="1:7" x14ac:dyDescent="0.25">
      <c r="A17" s="56" t="s">
        <v>79</v>
      </c>
      <c r="B17" s="155">
        <v>0.48</v>
      </c>
      <c r="C17" s="155">
        <v>0.52</v>
      </c>
      <c r="D17" s="36"/>
      <c r="E17" s="36"/>
      <c r="F17" s="36"/>
      <c r="G17" s="37"/>
    </row>
    <row r="18" spans="1:7" x14ac:dyDescent="0.25">
      <c r="A18" s="56" t="s">
        <v>80</v>
      </c>
      <c r="B18" s="155">
        <v>0</v>
      </c>
      <c r="C18" s="155">
        <v>1</v>
      </c>
      <c r="D18" s="36"/>
      <c r="E18" s="36"/>
      <c r="F18" s="36"/>
      <c r="G18" s="37"/>
    </row>
    <row r="19" spans="1:7" x14ac:dyDescent="0.25">
      <c r="A19" s="40"/>
      <c r="B19" s="36"/>
      <c r="C19" s="36"/>
      <c r="D19" s="36"/>
      <c r="E19" s="36"/>
      <c r="F19" s="36"/>
      <c r="G19" s="37"/>
    </row>
    <row r="20" spans="1:7" ht="15" customHeight="1" x14ac:dyDescent="0.25">
      <c r="A20" s="175" t="s">
        <v>119</v>
      </c>
      <c r="B20" s="169"/>
      <c r="C20" s="169"/>
      <c r="D20" s="169"/>
      <c r="E20" s="169"/>
      <c r="F20" s="169"/>
      <c r="G20" s="170"/>
    </row>
    <row r="21" spans="1:7" x14ac:dyDescent="0.25">
      <c r="A21" s="175"/>
      <c r="B21" s="169"/>
      <c r="C21" s="169"/>
      <c r="D21" s="169"/>
      <c r="E21" s="169"/>
      <c r="F21" s="169"/>
      <c r="G21" s="170"/>
    </row>
    <row r="22" spans="1:7" x14ac:dyDescent="0.25">
      <c r="A22" s="175"/>
      <c r="B22" s="169"/>
      <c r="C22" s="169"/>
      <c r="D22" s="169"/>
      <c r="E22" s="169"/>
      <c r="F22" s="169"/>
      <c r="G22" s="170"/>
    </row>
    <row r="23" spans="1:7" x14ac:dyDescent="0.25">
      <c r="A23" s="175"/>
      <c r="B23" s="169"/>
      <c r="C23" s="169"/>
      <c r="D23" s="169"/>
      <c r="E23" s="169"/>
      <c r="F23" s="169"/>
      <c r="G23" s="170"/>
    </row>
    <row r="24" spans="1:7" x14ac:dyDescent="0.25">
      <c r="A24" s="175"/>
      <c r="B24" s="169"/>
      <c r="C24" s="169"/>
      <c r="D24" s="169"/>
      <c r="E24" s="169"/>
      <c r="F24" s="169"/>
      <c r="G24" s="170"/>
    </row>
    <row r="25" spans="1:7" ht="15.75" thickBot="1" x14ac:dyDescent="0.3">
      <c r="A25" s="176"/>
      <c r="B25" s="177"/>
      <c r="C25" s="177"/>
      <c r="D25" s="177"/>
      <c r="E25" s="177"/>
      <c r="F25" s="177"/>
      <c r="G25" s="178"/>
    </row>
    <row r="26" spans="1:7" x14ac:dyDescent="0.25">
      <c r="A26" s="27"/>
      <c r="B26" s="27"/>
      <c r="C26" s="27"/>
      <c r="D26" s="27"/>
      <c r="E26" s="27"/>
      <c r="F26" s="27"/>
    </row>
    <row r="27" spans="1:7" x14ac:dyDescent="0.25">
      <c r="A27" s="27"/>
      <c r="B27" s="27"/>
      <c r="C27" s="27"/>
      <c r="D27" s="27"/>
      <c r="E27" s="27"/>
      <c r="F27" s="27"/>
    </row>
    <row r="28" spans="1:7" x14ac:dyDescent="0.25">
      <c r="A28" s="27"/>
      <c r="B28" s="27"/>
      <c r="C28" s="27"/>
      <c r="D28" s="27"/>
      <c r="E28" s="27"/>
      <c r="F28" s="27"/>
    </row>
    <row r="29" spans="1:7" x14ac:dyDescent="0.25">
      <c r="A29" s="27"/>
      <c r="B29" s="27"/>
      <c r="C29" s="27"/>
      <c r="D29" s="27"/>
      <c r="E29" s="27"/>
      <c r="F29" s="27"/>
    </row>
    <row r="30" spans="1:7" x14ac:dyDescent="0.25">
      <c r="A30" s="27"/>
      <c r="B30" s="27"/>
      <c r="C30" s="27"/>
      <c r="D30" s="27"/>
      <c r="E30" s="27"/>
      <c r="F30" s="27"/>
    </row>
    <row r="31" spans="1:7" x14ac:dyDescent="0.25">
      <c r="A31" s="27"/>
      <c r="B31" s="27"/>
      <c r="C31" s="27"/>
      <c r="D31" s="27"/>
      <c r="E31" s="27"/>
      <c r="F31" s="27"/>
    </row>
  </sheetData>
  <mergeCells count="4">
    <mergeCell ref="A20:G25"/>
    <mergeCell ref="B12:C12"/>
    <mergeCell ref="A10:F11"/>
    <mergeCell ref="B5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6526-0DB9-4DC7-9CA2-C099B09F210F}">
  <sheetPr>
    <tabColor theme="4"/>
  </sheetPr>
  <dimension ref="A1:L19"/>
  <sheetViews>
    <sheetView tabSelected="1" workbookViewId="0">
      <selection activeCell="N26" sqref="N26"/>
    </sheetView>
  </sheetViews>
  <sheetFormatPr defaultRowHeight="15" x14ac:dyDescent="0.25"/>
  <cols>
    <col min="1" max="1" width="13.140625" customWidth="1"/>
    <col min="2" max="2" width="16.140625" customWidth="1"/>
    <col min="3" max="3" width="15.7109375" customWidth="1"/>
    <col min="4" max="4" width="17.85546875" customWidth="1"/>
    <col min="5" max="5" width="17.7109375" customWidth="1"/>
    <col min="6" max="6" width="15" customWidth="1"/>
    <col min="7" max="7" width="14" customWidth="1"/>
    <col min="8" max="8" width="12" customWidth="1"/>
  </cols>
  <sheetData>
    <row r="1" spans="1:12" x14ac:dyDescent="0.25">
      <c r="A1" s="87" t="s">
        <v>103</v>
      </c>
      <c r="B1" s="88" t="s">
        <v>94</v>
      </c>
      <c r="C1" s="89"/>
      <c r="D1" s="89"/>
      <c r="E1" s="89"/>
      <c r="F1" s="89"/>
      <c r="G1" s="90"/>
      <c r="H1" s="50"/>
    </row>
    <row r="2" spans="1:12" ht="43.5" customHeight="1" x14ac:dyDescent="0.25">
      <c r="A2" s="91" t="s">
        <v>0</v>
      </c>
      <c r="B2" s="68" t="s">
        <v>95</v>
      </c>
      <c r="C2" s="69" t="s">
        <v>118</v>
      </c>
      <c r="D2" s="70" t="s">
        <v>101</v>
      </c>
      <c r="E2" s="68" t="s">
        <v>111</v>
      </c>
      <c r="F2" s="70" t="s">
        <v>112</v>
      </c>
      <c r="G2" s="83" t="s">
        <v>109</v>
      </c>
      <c r="H2" s="37"/>
    </row>
    <row r="3" spans="1:12" x14ac:dyDescent="0.25">
      <c r="A3" s="92" t="s">
        <v>96</v>
      </c>
      <c r="B3" s="71">
        <v>14015742.699999999</v>
      </c>
      <c r="C3" s="53">
        <v>2803148.54</v>
      </c>
      <c r="D3" s="72">
        <f>SUM(B3,C3)</f>
        <v>16818891.239999998</v>
      </c>
      <c r="E3" s="77" t="s">
        <v>110</v>
      </c>
      <c r="F3" s="78" t="s">
        <v>110</v>
      </c>
      <c r="G3" s="84" t="s">
        <v>110</v>
      </c>
      <c r="H3" s="37"/>
    </row>
    <row r="4" spans="1:12" x14ac:dyDescent="0.25">
      <c r="A4" s="65" t="s">
        <v>97</v>
      </c>
      <c r="B4" s="73">
        <v>21441764.890000001</v>
      </c>
      <c r="C4" s="53">
        <v>4288352.9780000001</v>
      </c>
      <c r="D4" s="72">
        <f t="shared" ref="D4:D7" si="0">SUM(B4,C4)</f>
        <v>25730117.868000001</v>
      </c>
      <c r="E4" s="77" t="s">
        <v>110</v>
      </c>
      <c r="F4" s="78" t="s">
        <v>110</v>
      </c>
      <c r="G4" s="84" t="s">
        <v>110</v>
      </c>
      <c r="H4" s="37"/>
    </row>
    <row r="5" spans="1:12" x14ac:dyDescent="0.25">
      <c r="A5" s="65" t="s">
        <v>98</v>
      </c>
      <c r="B5" s="73">
        <v>31369086.590000004</v>
      </c>
      <c r="C5" s="53">
        <v>6273817.318</v>
      </c>
      <c r="D5" s="72">
        <f t="shared" si="0"/>
        <v>37642903.908000007</v>
      </c>
      <c r="E5" s="79">
        <v>123162</v>
      </c>
      <c r="F5" s="80" t="s">
        <v>110</v>
      </c>
      <c r="G5" s="85">
        <f>D5/E5</f>
        <v>305.63732245335416</v>
      </c>
      <c r="H5" s="37"/>
    </row>
    <row r="6" spans="1:12" x14ac:dyDescent="0.25">
      <c r="A6" s="65" t="s">
        <v>99</v>
      </c>
      <c r="B6" s="73">
        <v>44254063.339999996</v>
      </c>
      <c r="C6" s="54">
        <v>8850812.6679999996</v>
      </c>
      <c r="D6" s="72">
        <f t="shared" si="0"/>
        <v>53104876.007999994</v>
      </c>
      <c r="E6" s="73">
        <v>343182</v>
      </c>
      <c r="F6" s="81">
        <v>300000</v>
      </c>
      <c r="G6" s="85">
        <f>D6/F6</f>
        <v>177.01625335999998</v>
      </c>
      <c r="H6" s="37"/>
    </row>
    <row r="7" spans="1:12" x14ac:dyDescent="0.25">
      <c r="A7" s="93" t="s">
        <v>100</v>
      </c>
      <c r="B7" s="74">
        <v>70350651.969999999</v>
      </c>
      <c r="C7" s="75">
        <v>14070130.394000001</v>
      </c>
      <c r="D7" s="76">
        <f t="shared" si="0"/>
        <v>84420782.363999993</v>
      </c>
      <c r="E7" s="74">
        <v>399963</v>
      </c>
      <c r="F7" s="82">
        <v>300000</v>
      </c>
      <c r="G7" s="86">
        <f>D7/F7</f>
        <v>281.40260787999995</v>
      </c>
      <c r="H7" s="37"/>
    </row>
    <row r="8" spans="1:12" ht="15" customHeight="1" x14ac:dyDescent="0.25">
      <c r="A8" s="66" t="s">
        <v>113</v>
      </c>
      <c r="B8" s="182" t="s">
        <v>114</v>
      </c>
      <c r="C8" s="182"/>
      <c r="D8" s="182"/>
      <c r="E8" s="182"/>
      <c r="F8" s="182"/>
      <c r="G8" s="182"/>
      <c r="H8" s="37"/>
      <c r="I8" s="51"/>
      <c r="J8" s="51"/>
      <c r="K8" s="51"/>
      <c r="L8" s="51"/>
    </row>
    <row r="9" spans="1:12" ht="15" customHeight="1" x14ac:dyDescent="0.25">
      <c r="A9" s="40"/>
      <c r="B9" s="182"/>
      <c r="C9" s="182"/>
      <c r="D9" s="182"/>
      <c r="E9" s="182"/>
      <c r="F9" s="182"/>
      <c r="G9" s="182"/>
      <c r="H9" s="37"/>
    </row>
    <row r="10" spans="1:12" x14ac:dyDescent="0.25">
      <c r="A10" s="40"/>
      <c r="B10" s="182"/>
      <c r="C10" s="182"/>
      <c r="D10" s="182"/>
      <c r="E10" s="182"/>
      <c r="F10" s="182"/>
      <c r="G10" s="182"/>
      <c r="H10" s="37"/>
    </row>
    <row r="11" spans="1:12" x14ac:dyDescent="0.25">
      <c r="A11" s="94"/>
      <c r="B11" s="36" t="s">
        <v>115</v>
      </c>
      <c r="C11" s="36"/>
      <c r="D11" s="36"/>
      <c r="E11" s="36"/>
      <c r="F11" s="36"/>
      <c r="G11" s="36"/>
      <c r="H11" s="37"/>
    </row>
    <row r="12" spans="1:12" x14ac:dyDescent="0.25">
      <c r="A12" s="94"/>
      <c r="B12" s="36" t="s">
        <v>116</v>
      </c>
      <c r="C12" s="36"/>
      <c r="D12" s="36"/>
      <c r="E12" s="36"/>
      <c r="F12" s="36"/>
      <c r="G12" s="36"/>
      <c r="H12" s="37"/>
    </row>
    <row r="13" spans="1:12" x14ac:dyDescent="0.25">
      <c r="A13" s="94"/>
      <c r="B13" s="36"/>
      <c r="C13" s="36"/>
      <c r="D13" s="36"/>
      <c r="E13" s="36"/>
      <c r="F13" s="36"/>
      <c r="G13" s="36"/>
      <c r="H13" s="37"/>
    </row>
    <row r="14" spans="1:12" x14ac:dyDescent="0.25">
      <c r="A14" s="40"/>
      <c r="B14" s="36"/>
      <c r="C14" s="36"/>
      <c r="D14" s="36"/>
      <c r="E14" s="36"/>
      <c r="F14" s="36"/>
      <c r="G14" s="36"/>
      <c r="H14" s="37"/>
    </row>
    <row r="15" spans="1:12" x14ac:dyDescent="0.25">
      <c r="A15" s="95" t="s">
        <v>102</v>
      </c>
      <c r="B15" s="36"/>
      <c r="C15" s="36"/>
      <c r="D15" s="36"/>
      <c r="E15" s="36"/>
      <c r="F15" s="36"/>
      <c r="G15" s="36"/>
      <c r="H15" s="37"/>
    </row>
    <row r="16" spans="1:12" ht="57.75" customHeight="1" x14ac:dyDescent="0.25">
      <c r="A16" s="96" t="s">
        <v>0</v>
      </c>
      <c r="B16" s="59" t="s">
        <v>125</v>
      </c>
      <c r="C16" s="59" t="s">
        <v>105</v>
      </c>
      <c r="D16" s="59" t="s">
        <v>126</v>
      </c>
      <c r="E16" s="59" t="s">
        <v>106</v>
      </c>
      <c r="F16" s="59" t="s">
        <v>107</v>
      </c>
      <c r="G16" s="59" t="s">
        <v>108</v>
      </c>
      <c r="H16" s="97" t="s">
        <v>109</v>
      </c>
    </row>
    <row r="17" spans="1:8" x14ac:dyDescent="0.25">
      <c r="A17" s="98" t="s">
        <v>104</v>
      </c>
      <c r="B17" s="60">
        <v>1533</v>
      </c>
      <c r="C17" s="61">
        <v>69145</v>
      </c>
      <c r="D17" s="60">
        <v>250</v>
      </c>
      <c r="E17" s="61">
        <v>81193</v>
      </c>
      <c r="F17" s="62">
        <f>(B17*C17) +(D17*E17)</f>
        <v>126297535</v>
      </c>
      <c r="G17" s="63">
        <v>270000</v>
      </c>
      <c r="H17" s="99">
        <f>F17/G17</f>
        <v>467.76864814814815</v>
      </c>
    </row>
    <row r="18" spans="1:8" x14ac:dyDescent="0.25">
      <c r="A18" s="40" t="s">
        <v>113</v>
      </c>
      <c r="B18" s="36" t="s">
        <v>117</v>
      </c>
      <c r="C18" s="36"/>
      <c r="D18" s="36"/>
      <c r="E18" s="36"/>
      <c r="F18" s="36"/>
      <c r="G18" s="36"/>
      <c r="H18" s="37"/>
    </row>
    <row r="19" spans="1:8" ht="15.75" thickBot="1" x14ac:dyDescent="0.3">
      <c r="A19" s="45"/>
      <c r="B19" s="47" t="s">
        <v>127</v>
      </c>
      <c r="C19" s="47"/>
      <c r="D19" s="47"/>
      <c r="E19" s="47"/>
      <c r="F19" s="47"/>
      <c r="G19" s="47"/>
      <c r="H19" s="48"/>
    </row>
  </sheetData>
  <mergeCells count="1">
    <mergeCell ref="B8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Base Model</vt:lpstr>
      <vt:lpstr>Model with Training</vt:lpstr>
      <vt:lpstr>Salaries</vt:lpstr>
      <vt:lpstr>Number of Employees</vt:lpstr>
      <vt:lpstr>Training </vt:lpstr>
      <vt:lpstr>Historic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Devakos, Tessa</dc:creator>
  <cp:lastModifiedBy>Devakos, Tessa</cp:lastModifiedBy>
  <dcterms:created xsi:type="dcterms:W3CDTF">2019-04-26T13:58:19Z</dcterms:created>
  <dcterms:modified xsi:type="dcterms:W3CDTF">2019-05-15T13:29:14Z</dcterms:modified>
</cp:coreProperties>
</file>