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hoccdc-my.sharepoint.com/personal/marie-eve_hamellaberge_parl_gc_ca/Documents/Marie-Eve/Desktop/Production/Restore/Production/Rapports/Ongoing reports/BLOG-2526-005-HAF/"/>
    </mc:Choice>
  </mc:AlternateContent>
  <xr:revisionPtr revIDLastSave="0" documentId="8_{F3BAF33A-16C0-4522-BE3A-3A743923F55B}" xr6:coauthVersionLast="47" xr6:coauthVersionMax="47" xr10:uidLastSave="{00000000-0000-0000-0000-000000000000}"/>
  <bookViews>
    <workbookView xWindow="-57720" yWindow="-15" windowWidth="29040" windowHeight="15720" activeTab="3" xr2:uid="{00000000-000D-0000-FFFF-FFFF00000000}"/>
  </bookViews>
  <sheets>
    <sheet name="Summary" sheetId="12" r:id="rId1"/>
    <sheet name="All approved applications" sheetId="9" r:id="rId2"/>
    <sheet name="Approved HAF 1 - updated" sheetId="7" r:id="rId3"/>
    <sheet name="Approved HAF 2 " sheetId="8" r:id="rId4"/>
    <sheet name="hiddenSheet" sheetId="2" state="veryHidden" r:id="rId5"/>
  </sheets>
  <definedNames>
    <definedName name="_AMO_UniqueIdentifier" hidden="1">"'0ab47170-f5c4-49c4-92b1-fa987b98b145'"</definedName>
    <definedName name="_xlcn.WorksheetConnection_HAFProjectedunitsWithHAFandWithoutHAFasofMarch312025.xlsxHAF" hidden="1">HAF[]</definedName>
    <definedName name="ExternalData_11" localSheetId="1" hidden="1">'All approved applications'!$A$1:$O$242</definedName>
  </definedNames>
  <calcPr calcId="191028"/>
  <pivotCaches>
    <pivotCache cacheId="2"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HAF" name="HAF" connection="WorksheetConnection_HAF - Projected units - With HAF and Without HAF (as of March 31 2025).xlsx!HAF"/>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8" l="1"/>
  <c r="G65" i="8"/>
  <c r="H65" i="8"/>
  <c r="I243" i="9"/>
  <c r="O243" i="9"/>
  <c r="J243" i="9"/>
  <c r="K243" i="9"/>
  <c r="L243" i="9"/>
  <c r="M243" i="9"/>
  <c r="N243" i="9"/>
  <c r="B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C243" i="9"/>
  <c r="H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N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K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M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J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J200" i="9"/>
  <c r="J201" i="9"/>
  <c r="J202" i="9"/>
  <c r="J203" i="9"/>
  <c r="J204" i="9"/>
  <c r="J205" i="9"/>
  <c r="J206" i="9"/>
  <c r="J207" i="9"/>
  <c r="J208" i="9"/>
  <c r="J209" i="9"/>
  <c r="J210" i="9"/>
  <c r="J211" i="9"/>
  <c r="J212" i="9"/>
  <c r="J213" i="9"/>
  <c r="J214" i="9"/>
  <c r="J215" i="9"/>
  <c r="J216" i="9"/>
  <c r="J217" i="9"/>
  <c r="J218" i="9"/>
  <c r="J219" i="9"/>
  <c r="J220" i="9"/>
  <c r="J221" i="9"/>
  <c r="J222" i="9"/>
  <c r="J223" i="9"/>
  <c r="J224" i="9"/>
  <c r="J225" i="9"/>
  <c r="J226" i="9"/>
  <c r="J227" i="9"/>
  <c r="J228" i="9"/>
  <c r="J229" i="9"/>
  <c r="J230" i="9"/>
  <c r="J231" i="9"/>
  <c r="J232" i="9"/>
  <c r="J233" i="9"/>
  <c r="J234" i="9"/>
  <c r="J235" i="9"/>
  <c r="J236" i="9"/>
  <c r="J237" i="9"/>
  <c r="J238" i="9"/>
  <c r="J239" i="9"/>
  <c r="J240" i="9"/>
  <c r="J241" i="9"/>
  <c r="J242" i="9"/>
  <c r="I65" i="8"/>
  <c r="K180" i="7"/>
  <c r="M180" i="7" l="1"/>
  <c r="H2" i="7" l="1"/>
  <c r="G2" i="7" s="1"/>
  <c r="K2" i="7" s="1"/>
  <c r="I180" i="7"/>
  <c r="L180" i="7"/>
  <c r="H5" i="7"/>
  <c r="G5" i="7" s="1"/>
  <c r="K5" i="7" s="1"/>
  <c r="H6" i="7"/>
  <c r="G6" i="7" s="1"/>
  <c r="K6" i="7" s="1"/>
  <c r="H7" i="7"/>
  <c r="G7" i="7" s="1"/>
  <c r="K7" i="7" s="1"/>
  <c r="H8" i="7"/>
  <c r="G8" i="7" s="1"/>
  <c r="K8" i="7" s="1"/>
  <c r="H9" i="7"/>
  <c r="G9" i="7" s="1"/>
  <c r="K9" i="7" s="1"/>
  <c r="H10" i="7"/>
  <c r="G10" i="7" s="1"/>
  <c r="K10" i="7" s="1"/>
  <c r="H11" i="7"/>
  <c r="G11" i="7" s="1"/>
  <c r="K11" i="7" s="1"/>
  <c r="H12" i="7"/>
  <c r="G12" i="7" s="1"/>
  <c r="K12" i="7" s="1"/>
  <c r="H13" i="7"/>
  <c r="G13" i="7" s="1"/>
  <c r="K13" i="7" s="1"/>
  <c r="H14" i="7"/>
  <c r="G14" i="7" s="1"/>
  <c r="K14" i="7" s="1"/>
  <c r="H15" i="7"/>
  <c r="G15" i="7" s="1"/>
  <c r="K15" i="7" s="1"/>
  <c r="H16" i="7"/>
  <c r="G16" i="7" s="1"/>
  <c r="K16" i="7" s="1"/>
  <c r="H17" i="7"/>
  <c r="G17" i="7" s="1"/>
  <c r="K17" i="7" s="1"/>
  <c r="H18" i="7"/>
  <c r="G18" i="7" s="1"/>
  <c r="K18" i="7" s="1"/>
  <c r="H19" i="7"/>
  <c r="G19" i="7" s="1"/>
  <c r="K19" i="7" s="1"/>
  <c r="H20" i="7"/>
  <c r="G20" i="7" s="1"/>
  <c r="K20" i="7" s="1"/>
  <c r="H21" i="7"/>
  <c r="G21" i="7" s="1"/>
  <c r="K21" i="7" s="1"/>
  <c r="H22" i="7"/>
  <c r="G22" i="7" s="1"/>
  <c r="K22" i="7" s="1"/>
  <c r="H23" i="7"/>
  <c r="G23" i="7" s="1"/>
  <c r="K23" i="7" s="1"/>
  <c r="H24" i="7"/>
  <c r="G24" i="7" s="1"/>
  <c r="K24" i="7" s="1"/>
  <c r="H25" i="7"/>
  <c r="G25" i="7" s="1"/>
  <c r="K25" i="7" s="1"/>
  <c r="H26" i="7"/>
  <c r="G26" i="7" s="1"/>
  <c r="K26" i="7" s="1"/>
  <c r="H27" i="7"/>
  <c r="G27" i="7" s="1"/>
  <c r="K27" i="7" s="1"/>
  <c r="H28" i="7"/>
  <c r="G28" i="7" s="1"/>
  <c r="K28" i="7" s="1"/>
  <c r="H29" i="7"/>
  <c r="G29" i="7" s="1"/>
  <c r="K29" i="7" s="1"/>
  <c r="H30" i="7"/>
  <c r="G30" i="7" s="1"/>
  <c r="K30" i="7" s="1"/>
  <c r="H31" i="7"/>
  <c r="G31" i="7" s="1"/>
  <c r="K31" i="7" s="1"/>
  <c r="H32" i="7"/>
  <c r="G32" i="7" s="1"/>
  <c r="K32" i="7" s="1"/>
  <c r="H33" i="7"/>
  <c r="G33" i="7" s="1"/>
  <c r="K33" i="7" s="1"/>
  <c r="H34" i="7"/>
  <c r="G34" i="7" s="1"/>
  <c r="K34" i="7" s="1"/>
  <c r="H35" i="7"/>
  <c r="G35" i="7" s="1"/>
  <c r="K35" i="7" s="1"/>
  <c r="H36" i="7"/>
  <c r="G36" i="7" s="1"/>
  <c r="K36" i="7" s="1"/>
  <c r="H37" i="7"/>
  <c r="G37" i="7" s="1"/>
  <c r="K37" i="7" s="1"/>
  <c r="H38" i="7"/>
  <c r="G38" i="7" s="1"/>
  <c r="K38" i="7" s="1"/>
  <c r="H39" i="7"/>
  <c r="G39" i="7" s="1"/>
  <c r="K39" i="7" s="1"/>
  <c r="H40" i="7"/>
  <c r="G40" i="7" s="1"/>
  <c r="K40" i="7" s="1"/>
  <c r="H41" i="7"/>
  <c r="G41" i="7" s="1"/>
  <c r="K41" i="7" s="1"/>
  <c r="H42" i="7"/>
  <c r="G42" i="7" s="1"/>
  <c r="K42" i="7" s="1"/>
  <c r="H43" i="7"/>
  <c r="G43" i="7" s="1"/>
  <c r="K43" i="7" s="1"/>
  <c r="H44" i="7"/>
  <c r="G44" i="7" s="1"/>
  <c r="K44" i="7" s="1"/>
  <c r="H45" i="7"/>
  <c r="G45" i="7" s="1"/>
  <c r="K45" i="7" s="1"/>
  <c r="H46" i="7"/>
  <c r="G46" i="7" s="1"/>
  <c r="K46" i="7" s="1"/>
  <c r="H47" i="7"/>
  <c r="G47" i="7" s="1"/>
  <c r="K47" i="7" s="1"/>
  <c r="H48" i="7"/>
  <c r="G48" i="7" s="1"/>
  <c r="K48" i="7" s="1"/>
  <c r="H49" i="7"/>
  <c r="G49" i="7" s="1"/>
  <c r="K49" i="7" s="1"/>
  <c r="H50" i="7"/>
  <c r="G50" i="7" s="1"/>
  <c r="K50" i="7" s="1"/>
  <c r="H51" i="7"/>
  <c r="G51" i="7" s="1"/>
  <c r="K51" i="7" s="1"/>
  <c r="H52" i="7"/>
  <c r="G52" i="7" s="1"/>
  <c r="K52" i="7" s="1"/>
  <c r="H53" i="7"/>
  <c r="G53" i="7" s="1"/>
  <c r="K53" i="7" s="1"/>
  <c r="H54" i="7"/>
  <c r="G54" i="7" s="1"/>
  <c r="K54" i="7" s="1"/>
  <c r="H55" i="7"/>
  <c r="G55" i="7" s="1"/>
  <c r="K55" i="7" s="1"/>
  <c r="H56" i="7"/>
  <c r="G56" i="7" s="1"/>
  <c r="K56" i="7" s="1"/>
  <c r="H57" i="7"/>
  <c r="G57" i="7" s="1"/>
  <c r="K57" i="7" s="1"/>
  <c r="H58" i="7"/>
  <c r="G58" i="7" s="1"/>
  <c r="K58" i="7" s="1"/>
  <c r="H59" i="7"/>
  <c r="G59" i="7" s="1"/>
  <c r="K59" i="7" s="1"/>
  <c r="H60" i="7"/>
  <c r="G60" i="7" s="1"/>
  <c r="K60" i="7" s="1"/>
  <c r="H61" i="7"/>
  <c r="G61" i="7" s="1"/>
  <c r="K61" i="7" s="1"/>
  <c r="H62" i="7"/>
  <c r="G62" i="7" s="1"/>
  <c r="K62" i="7" s="1"/>
  <c r="H63" i="7"/>
  <c r="G63" i="7" s="1"/>
  <c r="K63" i="7" s="1"/>
  <c r="H64" i="7"/>
  <c r="G64" i="7" s="1"/>
  <c r="K64" i="7" s="1"/>
  <c r="H66" i="7"/>
  <c r="G66" i="7" s="1"/>
  <c r="K66" i="7" s="1"/>
  <c r="H67" i="7"/>
  <c r="G67" i="7" s="1"/>
  <c r="K67" i="7" s="1"/>
  <c r="H68" i="7"/>
  <c r="G68" i="7" s="1"/>
  <c r="K68" i="7" s="1"/>
  <c r="H69" i="7"/>
  <c r="G69" i="7" s="1"/>
  <c r="K69" i="7" s="1"/>
  <c r="H70" i="7"/>
  <c r="G70" i="7" s="1"/>
  <c r="K70" i="7" s="1"/>
  <c r="H71" i="7"/>
  <c r="G71" i="7" s="1"/>
  <c r="K71" i="7" s="1"/>
  <c r="H72" i="7"/>
  <c r="G72" i="7" s="1"/>
  <c r="K72" i="7" s="1"/>
  <c r="H73" i="7"/>
  <c r="G73" i="7" s="1"/>
  <c r="K73" i="7" s="1"/>
  <c r="H74" i="7"/>
  <c r="G74" i="7" s="1"/>
  <c r="K74" i="7" s="1"/>
  <c r="H75" i="7"/>
  <c r="G75" i="7" s="1"/>
  <c r="K75" i="7" s="1"/>
  <c r="H76" i="7"/>
  <c r="G76" i="7" s="1"/>
  <c r="K76" i="7" s="1"/>
  <c r="H77" i="7"/>
  <c r="G77" i="7" s="1"/>
  <c r="K77" i="7" s="1"/>
  <c r="H78" i="7"/>
  <c r="G78" i="7" s="1"/>
  <c r="K78" i="7" s="1"/>
  <c r="H79" i="7"/>
  <c r="G79" i="7" s="1"/>
  <c r="K79" i="7" s="1"/>
  <c r="H80" i="7"/>
  <c r="G80" i="7" s="1"/>
  <c r="K80" i="7" s="1"/>
  <c r="H81" i="7"/>
  <c r="G81" i="7" s="1"/>
  <c r="K81" i="7" s="1"/>
  <c r="H82" i="7"/>
  <c r="G82" i="7" s="1"/>
  <c r="K82" i="7" s="1"/>
  <c r="H83" i="7"/>
  <c r="G83" i="7" s="1"/>
  <c r="K83" i="7" s="1"/>
  <c r="H84" i="7"/>
  <c r="G84" i="7" s="1"/>
  <c r="K84" i="7" s="1"/>
  <c r="H85" i="7"/>
  <c r="G85" i="7" s="1"/>
  <c r="K85" i="7" s="1"/>
  <c r="H86" i="7"/>
  <c r="G86" i="7" s="1"/>
  <c r="K86" i="7" s="1"/>
  <c r="H87" i="7"/>
  <c r="G87" i="7" s="1"/>
  <c r="K87" i="7" s="1"/>
  <c r="H88" i="7"/>
  <c r="G88" i="7" s="1"/>
  <c r="K88" i="7" s="1"/>
  <c r="H89" i="7"/>
  <c r="G89" i="7" s="1"/>
  <c r="K89" i="7" s="1"/>
  <c r="H90" i="7"/>
  <c r="G90" i="7" s="1"/>
  <c r="K90" i="7" s="1"/>
  <c r="H91" i="7"/>
  <c r="G91" i="7" s="1"/>
  <c r="K91" i="7" s="1"/>
  <c r="H92" i="7"/>
  <c r="G92" i="7" s="1"/>
  <c r="K92" i="7" s="1"/>
  <c r="H93" i="7"/>
  <c r="G93" i="7" s="1"/>
  <c r="K93" i="7" s="1"/>
  <c r="H94" i="7"/>
  <c r="G94" i="7" s="1"/>
  <c r="K94" i="7" s="1"/>
  <c r="H95" i="7"/>
  <c r="G95" i="7" s="1"/>
  <c r="K95" i="7" s="1"/>
  <c r="H96" i="7"/>
  <c r="G96" i="7" s="1"/>
  <c r="K96" i="7" s="1"/>
  <c r="H97" i="7"/>
  <c r="G97" i="7" s="1"/>
  <c r="K97" i="7" s="1"/>
  <c r="H98" i="7"/>
  <c r="G98" i="7" s="1"/>
  <c r="K98" i="7" s="1"/>
  <c r="H99" i="7"/>
  <c r="G99" i="7" s="1"/>
  <c r="K99" i="7" s="1"/>
  <c r="H100" i="7"/>
  <c r="G100" i="7" s="1"/>
  <c r="K100" i="7" s="1"/>
  <c r="H101" i="7"/>
  <c r="G101" i="7" s="1"/>
  <c r="K101" i="7" s="1"/>
  <c r="H102" i="7"/>
  <c r="G102" i="7" s="1"/>
  <c r="K102" i="7" s="1"/>
  <c r="H103" i="7"/>
  <c r="G103" i="7" s="1"/>
  <c r="K103" i="7" s="1"/>
  <c r="H104" i="7"/>
  <c r="G104" i="7" s="1"/>
  <c r="K104" i="7" s="1"/>
  <c r="H105" i="7"/>
  <c r="G105" i="7" s="1"/>
  <c r="K105" i="7" s="1"/>
  <c r="H106" i="7"/>
  <c r="G106" i="7" s="1"/>
  <c r="K106" i="7" s="1"/>
  <c r="H107" i="7"/>
  <c r="G107" i="7" s="1"/>
  <c r="K107" i="7" s="1"/>
  <c r="H108" i="7"/>
  <c r="G108" i="7" s="1"/>
  <c r="K108" i="7" s="1"/>
  <c r="H109" i="7"/>
  <c r="G109" i="7" s="1"/>
  <c r="K109" i="7" s="1"/>
  <c r="H110" i="7"/>
  <c r="G110" i="7" s="1"/>
  <c r="K110" i="7" s="1"/>
  <c r="H111" i="7"/>
  <c r="G111" i="7" s="1"/>
  <c r="K111" i="7" s="1"/>
  <c r="H112" i="7"/>
  <c r="G112" i="7" s="1"/>
  <c r="K112" i="7" s="1"/>
  <c r="H113" i="7"/>
  <c r="G113" i="7" s="1"/>
  <c r="K113" i="7" s="1"/>
  <c r="H114" i="7"/>
  <c r="G114" i="7" s="1"/>
  <c r="K114" i="7" s="1"/>
  <c r="H115" i="7"/>
  <c r="G115" i="7" s="1"/>
  <c r="K115" i="7" s="1"/>
  <c r="H116" i="7"/>
  <c r="G116" i="7" s="1"/>
  <c r="K116" i="7" s="1"/>
  <c r="H117" i="7"/>
  <c r="G117" i="7" s="1"/>
  <c r="K117" i="7" s="1"/>
  <c r="H118" i="7"/>
  <c r="G118" i="7" s="1"/>
  <c r="K118" i="7" s="1"/>
  <c r="H119" i="7"/>
  <c r="G119" i="7" s="1"/>
  <c r="K119" i="7" s="1"/>
  <c r="H120" i="7"/>
  <c r="G120" i="7" s="1"/>
  <c r="K120" i="7" s="1"/>
  <c r="H121" i="7"/>
  <c r="G121" i="7" s="1"/>
  <c r="K121" i="7" s="1"/>
  <c r="H122" i="7"/>
  <c r="G122" i="7" s="1"/>
  <c r="K122" i="7" s="1"/>
  <c r="H123" i="7"/>
  <c r="G123" i="7" s="1"/>
  <c r="K123" i="7" s="1"/>
  <c r="H124" i="7"/>
  <c r="G124" i="7" s="1"/>
  <c r="K124" i="7" s="1"/>
  <c r="H125" i="7"/>
  <c r="G125" i="7" s="1"/>
  <c r="K125" i="7" s="1"/>
  <c r="H126" i="7"/>
  <c r="G126" i="7" s="1"/>
  <c r="K126" i="7" s="1"/>
  <c r="H127" i="7"/>
  <c r="G127" i="7" s="1"/>
  <c r="K127" i="7" s="1"/>
  <c r="H128" i="7"/>
  <c r="G128" i="7" s="1"/>
  <c r="K128" i="7" s="1"/>
  <c r="H129" i="7"/>
  <c r="G129" i="7" s="1"/>
  <c r="K129" i="7" s="1"/>
  <c r="H130" i="7"/>
  <c r="G130" i="7" s="1"/>
  <c r="K130" i="7" s="1"/>
  <c r="H131" i="7"/>
  <c r="G131" i="7" s="1"/>
  <c r="K131" i="7" s="1"/>
  <c r="H132" i="7"/>
  <c r="G132" i="7" s="1"/>
  <c r="K132" i="7" s="1"/>
  <c r="H133" i="7"/>
  <c r="G133" i="7" s="1"/>
  <c r="K133" i="7" s="1"/>
  <c r="H134" i="7"/>
  <c r="G134" i="7" s="1"/>
  <c r="K134" i="7" s="1"/>
  <c r="H135" i="7"/>
  <c r="G135" i="7" s="1"/>
  <c r="K135" i="7" s="1"/>
  <c r="H136" i="7"/>
  <c r="G136" i="7" s="1"/>
  <c r="K136" i="7" s="1"/>
  <c r="H137" i="7"/>
  <c r="G137" i="7" s="1"/>
  <c r="K137" i="7" s="1"/>
  <c r="H138" i="7"/>
  <c r="G138" i="7" s="1"/>
  <c r="K138" i="7" s="1"/>
  <c r="H139" i="7"/>
  <c r="G139" i="7" s="1"/>
  <c r="K139" i="7" s="1"/>
  <c r="H140" i="7"/>
  <c r="G140" i="7" s="1"/>
  <c r="K140" i="7" s="1"/>
  <c r="H141" i="7"/>
  <c r="G141" i="7" s="1"/>
  <c r="K141" i="7" s="1"/>
  <c r="H142" i="7"/>
  <c r="G142" i="7" s="1"/>
  <c r="K142" i="7" s="1"/>
  <c r="H143" i="7"/>
  <c r="G143" i="7" s="1"/>
  <c r="K143" i="7" s="1"/>
  <c r="H144" i="7"/>
  <c r="G144" i="7" s="1"/>
  <c r="K144" i="7" s="1"/>
  <c r="H145" i="7"/>
  <c r="G145" i="7" s="1"/>
  <c r="K145" i="7" s="1"/>
  <c r="H146" i="7"/>
  <c r="G146" i="7" s="1"/>
  <c r="K146" i="7" s="1"/>
  <c r="H147" i="7"/>
  <c r="G147" i="7" s="1"/>
  <c r="K147" i="7" s="1"/>
  <c r="H148" i="7"/>
  <c r="G148" i="7" s="1"/>
  <c r="K148" i="7" s="1"/>
  <c r="H149" i="7"/>
  <c r="G149" i="7" s="1"/>
  <c r="K149" i="7" s="1"/>
  <c r="H150" i="7"/>
  <c r="G150" i="7" s="1"/>
  <c r="K150" i="7" s="1"/>
  <c r="H151" i="7"/>
  <c r="G151" i="7" s="1"/>
  <c r="K151" i="7" s="1"/>
  <c r="H152" i="7"/>
  <c r="G152" i="7" s="1"/>
  <c r="K152" i="7" s="1"/>
  <c r="H153" i="7"/>
  <c r="G153" i="7" s="1"/>
  <c r="K153" i="7" s="1"/>
  <c r="H154" i="7"/>
  <c r="G154" i="7" s="1"/>
  <c r="K154" i="7" s="1"/>
  <c r="H155" i="7"/>
  <c r="G155" i="7" s="1"/>
  <c r="K155" i="7" s="1"/>
  <c r="H156" i="7"/>
  <c r="G156" i="7" s="1"/>
  <c r="K156" i="7" s="1"/>
  <c r="H157" i="7"/>
  <c r="G157" i="7" s="1"/>
  <c r="K157" i="7" s="1"/>
  <c r="H158" i="7"/>
  <c r="G158" i="7" s="1"/>
  <c r="K158" i="7" s="1"/>
  <c r="H159" i="7"/>
  <c r="G159" i="7" s="1"/>
  <c r="K159" i="7" s="1"/>
  <c r="H160" i="7"/>
  <c r="G160" i="7" s="1"/>
  <c r="K160" i="7" s="1"/>
  <c r="H161" i="7"/>
  <c r="G161" i="7" s="1"/>
  <c r="K161" i="7" s="1"/>
  <c r="H162" i="7"/>
  <c r="G162" i="7" s="1"/>
  <c r="K162" i="7" s="1"/>
  <c r="H163" i="7"/>
  <c r="G163" i="7" s="1"/>
  <c r="K163" i="7" s="1"/>
  <c r="H164" i="7"/>
  <c r="G164" i="7" s="1"/>
  <c r="K164" i="7" s="1"/>
  <c r="H165" i="7"/>
  <c r="G165" i="7" s="1"/>
  <c r="K165" i="7" s="1"/>
  <c r="H166" i="7"/>
  <c r="G166" i="7" s="1"/>
  <c r="K166" i="7" s="1"/>
  <c r="H167" i="7"/>
  <c r="G167" i="7" s="1"/>
  <c r="K167" i="7" s="1"/>
  <c r="H168" i="7"/>
  <c r="G168" i="7" s="1"/>
  <c r="K168" i="7" s="1"/>
  <c r="H169" i="7"/>
  <c r="G169" i="7" s="1"/>
  <c r="K169" i="7" s="1"/>
  <c r="H170" i="7"/>
  <c r="G170" i="7" s="1"/>
  <c r="K170" i="7" s="1"/>
  <c r="H171" i="7"/>
  <c r="G171" i="7" s="1"/>
  <c r="K171" i="7" s="1"/>
  <c r="H172" i="7"/>
  <c r="G172" i="7" s="1"/>
  <c r="K172" i="7" s="1"/>
  <c r="H173" i="7"/>
  <c r="G173" i="7" s="1"/>
  <c r="K173" i="7" s="1"/>
  <c r="H174" i="7"/>
  <c r="G174" i="7" s="1"/>
  <c r="K174" i="7" s="1"/>
  <c r="H175" i="7"/>
  <c r="G175" i="7" s="1"/>
  <c r="K175" i="7" s="1"/>
  <c r="H176" i="7"/>
  <c r="G176" i="7" s="1"/>
  <c r="K176" i="7" s="1"/>
  <c r="H177" i="7"/>
  <c r="G177" i="7" s="1"/>
  <c r="K177" i="7" s="1"/>
  <c r="H178" i="7"/>
  <c r="G178" i="7" s="1"/>
  <c r="K178" i="7" s="1"/>
  <c r="H179" i="7"/>
  <c r="G179" i="7" s="1"/>
  <c r="K179" i="7" s="1"/>
  <c r="H4" i="7"/>
  <c r="G4" i="7" s="1"/>
  <c r="K4" i="7" s="1"/>
  <c r="H3" i="7"/>
  <c r="G3" i="7" s="1"/>
  <c r="K3" i="7" s="1"/>
  <c r="J65" i="7"/>
  <c r="H65" i="7" s="1"/>
  <c r="G65" i="7" s="1"/>
  <c r="K65" i="7" l="1"/>
  <c r="J180" i="7"/>
  <c r="G180" i="7"/>
  <c r="H180"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C84845E-096C-4312-88CD-263FC0077B63}" keepAlive="1" name="Query - HAF" description="Connection to the 'HAF' query in the workbook." type="5" refreshedVersion="8" background="1" saveData="1">
    <dbPr connection="Provider=Microsoft.Mashup.OleDb.1;Data Source=$Workbook$;Location=HAF;Extended Properties=&quot;&quot;" command="SELECT * FROM [HAF]"/>
  </connection>
  <connection id="2" xr16:uid="{86A88EBE-C88B-4F0B-8FED-02333A56C0F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D1A013E3-FDFA-4FB4-BE12-7CD9A4CA8FDF}" name="WorksheetConnection_HAF - Projected units - With HAF and Without HAF (as of March 31 2025).xlsx!HAF" type="102" refreshedVersion="8" minRefreshableVersion="5">
    <extLst>
      <ext xmlns:x15="http://schemas.microsoft.com/office/spreadsheetml/2010/11/main" uri="{DE250136-89BD-433C-8126-D09CA5730AF9}">
        <x15:connection id="HAF" autoDelete="1">
          <x15:rangePr sourceName="_xlcn.WorksheetConnection_HAFProjectedunitsWithHAFandWithoutHAFasofMarch312025.xlsxHAF"/>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6">
    <s v="ThisWorkbookDataModel"/>
    <s v="{[HAF].[Province].[All]}"/>
    <s v="{[HAF].[Application Stream].[All]}"/>
    <s v="{[HAF].[Proponent Type].[All]}"/>
    <s v="{[HAF].[Funding Round].[All]}"/>
    <s v="{[HAF].[Funding Recipient].[All]}"/>
  </metadataStrings>
  <mdxMetadata count="5">
    <mdx n="0" f="s">
      <ms ns="1" c="0"/>
    </mdx>
    <mdx n="0" f="s">
      <ms ns="2" c="0"/>
    </mdx>
    <mdx n="0" f="s">
      <ms ns="3" c="0"/>
    </mdx>
    <mdx n="0" f="s">
      <ms ns="4" c="0"/>
    </mdx>
    <mdx n="0" f="s">
      <ms ns="5" c="0"/>
    </mdx>
  </mdxMetadata>
  <valueMetadata count="5">
    <bk>
      <rc t="1" v="0"/>
    </bk>
    <bk>
      <rc t="1" v="1"/>
    </bk>
    <bk>
      <rc t="1" v="2"/>
    </bk>
    <bk>
      <rc t="1" v="3"/>
    </bk>
    <bk>
      <rc t="1" v="4"/>
    </bk>
  </valueMetadata>
</metadata>
</file>

<file path=xl/sharedStrings.xml><?xml version="1.0" encoding="utf-8"?>
<sst xmlns="http://schemas.openxmlformats.org/spreadsheetml/2006/main" count="2356" uniqueCount="336">
  <si>
    <t>Client Program</t>
  </si>
  <si>
    <t xml:space="preserve">Province/Territory </t>
  </si>
  <si>
    <t xml:space="preserve">Application Stream </t>
  </si>
  <si>
    <t>Proponent Type</t>
  </si>
  <si>
    <t>Effective Agreement Date</t>
  </si>
  <si>
    <t>Total Funding</t>
  </si>
  <si>
    <t># units Projected Without Program</t>
  </si>
  <si>
    <t># Projected units Incented by Program</t>
  </si>
  <si>
    <t>HAF - Calgary</t>
  </si>
  <si>
    <t>Alberta</t>
  </si>
  <si>
    <t>Large/Urban</t>
  </si>
  <si>
    <t>Municipality</t>
  </si>
  <si>
    <t>10/27/2023</t>
  </si>
  <si>
    <t>HAF - City of Airdrie</t>
  </si>
  <si>
    <t>2/15/2024</t>
  </si>
  <si>
    <t>HAF - Edmonton</t>
  </si>
  <si>
    <t>HAF - Elizabeth Metis Settlement</t>
  </si>
  <si>
    <t>Small/Rural/North/Indigenous</t>
  </si>
  <si>
    <t>Indigenous Governing Body</t>
  </si>
  <si>
    <t>HAF - Piikani Nation</t>
  </si>
  <si>
    <t>HAF - Stony Plain</t>
  </si>
  <si>
    <t>HAF - Sylvan Lake</t>
  </si>
  <si>
    <t>1/30/2024</t>
  </si>
  <si>
    <t>HAF - Town of Banff</t>
  </si>
  <si>
    <t>HAF - Town of Bow Island</t>
  </si>
  <si>
    <t>1/23/2024</t>
  </si>
  <si>
    <t>HAF - Town of Smoky Lake</t>
  </si>
  <si>
    <t>1/29/2024</t>
  </si>
  <si>
    <t>HAF - Town of Westlock</t>
  </si>
  <si>
    <t>HAF - Village of Duchess</t>
  </si>
  <si>
    <t>1/15/2024</t>
  </si>
  <si>
    <t>HAF - Abbotsford</t>
  </si>
  <si>
    <t>British Columbia</t>
  </si>
  <si>
    <t>12/15/2023</t>
  </si>
  <si>
    <t>HAF - Aitchelitz First Nation</t>
  </si>
  <si>
    <t>12/21/2023</t>
  </si>
  <si>
    <t>HAF - Boston Bar First Nation</t>
  </si>
  <si>
    <t>HAF - Bowen Island Municipality</t>
  </si>
  <si>
    <t>HAF - Burnaby</t>
  </si>
  <si>
    <t>HAF - City of Campbell River</t>
  </si>
  <si>
    <t>HAF - City of Coquitlam</t>
  </si>
  <si>
    <t>HAF - Corporation of the City of North Vancouver</t>
  </si>
  <si>
    <t>1/19/2024</t>
  </si>
  <si>
    <t>HAF - District of Saanich</t>
  </si>
  <si>
    <t>HAF - District of Squamish</t>
  </si>
  <si>
    <t>HAF - District of Tofino</t>
  </si>
  <si>
    <t>1/31/2024</t>
  </si>
  <si>
    <t>HAF - District of Ucluelet</t>
  </si>
  <si>
    <t>1/25/2024</t>
  </si>
  <si>
    <t>HAF - Duncan</t>
  </si>
  <si>
    <t>1/17/2024</t>
  </si>
  <si>
    <t>HAF - Kelowna</t>
  </si>
  <si>
    <t>10/19/2023</t>
  </si>
  <si>
    <t>HAF - Kitasoo Xai'xais Nation</t>
  </si>
  <si>
    <t>12/20/2023</t>
  </si>
  <si>
    <t>HAF - Lheidli T'enneh First Nation</t>
  </si>
  <si>
    <t>HAF - Lytton First Nation</t>
  </si>
  <si>
    <t>12/19/2023</t>
  </si>
  <si>
    <t>HAF - Richmond</t>
  </si>
  <si>
    <t>12/14/2023</t>
  </si>
  <si>
    <t>HAF - Seabird Island Band</t>
  </si>
  <si>
    <t>12/29/2023</t>
  </si>
  <si>
    <t>HAF - Skowkale First Nation</t>
  </si>
  <si>
    <t>HAF - Sun Peaks Mountain Resort Municipality</t>
  </si>
  <si>
    <t>1/24/2024</t>
  </si>
  <si>
    <t>HAF - Surrey</t>
  </si>
  <si>
    <t>HAF - The Corporation of the City of New Westminster</t>
  </si>
  <si>
    <t>HAF - Town of Comox</t>
  </si>
  <si>
    <t>HAF - Town of Gibsons</t>
  </si>
  <si>
    <t>1/26/2024</t>
  </si>
  <si>
    <t>HAF - Town of Lake Cowichan</t>
  </si>
  <si>
    <t>HAF - Tsal'alh First Nation</t>
  </si>
  <si>
    <t>HAF - Tsawwassen First Nation</t>
  </si>
  <si>
    <t>HAF - Ulkatcho First Nation</t>
  </si>
  <si>
    <t>HAF - Vancouver</t>
  </si>
  <si>
    <t>HAF - Victoria</t>
  </si>
  <si>
    <t>10/30/2023</t>
  </si>
  <si>
    <t>HAF - Village of Pemberton</t>
  </si>
  <si>
    <t>HAF - Village of Radium Hot Springs</t>
  </si>
  <si>
    <t>HAF - Yakweakwioose First Nation</t>
  </si>
  <si>
    <t>HAF - City of Brandon</t>
  </si>
  <si>
    <t>Manitoba</t>
  </si>
  <si>
    <t>HAF - Municipality of Emerson-Franklin</t>
  </si>
  <si>
    <t>HAF - Naawi-Oodena</t>
  </si>
  <si>
    <t>12/22/2023</t>
  </si>
  <si>
    <t>HAF - RM of Brokenhead</t>
  </si>
  <si>
    <t>HAF - Sioux Valley Dakota Nation</t>
  </si>
  <si>
    <t>HAF - Winnipeg</t>
  </si>
  <si>
    <t>HAF - Bilijk</t>
  </si>
  <si>
    <t>New Brunswick</t>
  </si>
  <si>
    <t>HAF - Campbellton</t>
  </si>
  <si>
    <t>HAF - Cap-Acadie</t>
  </si>
  <si>
    <t>HAF - Caraquet</t>
  </si>
  <si>
    <t>HAF - Champdoré</t>
  </si>
  <si>
    <t>HAF - City of Bathurst</t>
  </si>
  <si>
    <t>HAF - City of Fredericton</t>
  </si>
  <si>
    <t>HAF - City of Saint John</t>
  </si>
  <si>
    <t>HAF - Grand-Bouctouche</t>
  </si>
  <si>
    <t>HAF - Harvey Rural Community</t>
  </si>
  <si>
    <t>HAF - Indian Island</t>
  </si>
  <si>
    <t>Indigenous Group</t>
  </si>
  <si>
    <t>HAF - Moncton</t>
  </si>
  <si>
    <t>11/14/2023</t>
  </si>
  <si>
    <t>HAF - Shippagan</t>
  </si>
  <si>
    <t>HAF - Tobique First Nation</t>
  </si>
  <si>
    <t>HAF - Town of Grand Bay-Westfield</t>
  </si>
  <si>
    <t>1/18/2024</t>
  </si>
  <si>
    <t>HAF - Town of Riverview</t>
  </si>
  <si>
    <t>2/16/2024</t>
  </si>
  <si>
    <t>HAF - Town of Sussex</t>
  </si>
  <si>
    <t>HAF - Tracadie</t>
  </si>
  <si>
    <t>HAF - City of Mount Pearl</t>
  </si>
  <si>
    <t>Newfoundland and Labrador</t>
  </si>
  <si>
    <t>HAF - St. John's</t>
  </si>
  <si>
    <t>HAF - Town of Channel-Port Aux Basques</t>
  </si>
  <si>
    <t>HAF - Town of Fogo Island</t>
  </si>
  <si>
    <t>HAF - Town of Gander</t>
  </si>
  <si>
    <t>HAF - Town of Grand Falls-Windsor</t>
  </si>
  <si>
    <t>HAF - Town of New-Wes-Valley</t>
  </si>
  <si>
    <t>HAF - Town of Port Rexton</t>
  </si>
  <si>
    <t>2/21/2024</t>
  </si>
  <si>
    <t>HAF - City of Yellowknife</t>
  </si>
  <si>
    <t>Northwest Territories</t>
  </si>
  <si>
    <t>HAF - Fort Simpson Metis Nation</t>
  </si>
  <si>
    <t>HAF - Jean Marie River First Nation</t>
  </si>
  <si>
    <t>HAF - Town of Hay River</t>
  </si>
  <si>
    <t>HAF - Cape Breton Regional Municipality</t>
  </si>
  <si>
    <t>Nova Scotia</t>
  </si>
  <si>
    <t>HAF - East Hants</t>
  </si>
  <si>
    <t>2/23/2024</t>
  </si>
  <si>
    <t>HAF - Halifax</t>
  </si>
  <si>
    <t>HAF - Membertou First Nation</t>
  </si>
  <si>
    <t>HAF - Millbrook First Nation</t>
  </si>
  <si>
    <t>HAF - Municipality of the County of Antigonish</t>
  </si>
  <si>
    <t>HAF - Municipality of the County of Kings</t>
  </si>
  <si>
    <t>HAF - Municipality of the District of Chester</t>
  </si>
  <si>
    <t>HAF - Paqtnkek Mi'kmaw Nation</t>
  </si>
  <si>
    <t>HAF - Pictou Landing First Nation</t>
  </si>
  <si>
    <t>HAF - Town of  Westville</t>
  </si>
  <si>
    <t>HAF - Town of Antigonish</t>
  </si>
  <si>
    <t>HAF - Town of Lunenburg</t>
  </si>
  <si>
    <t>HAF - Town of New Glasgow</t>
  </si>
  <si>
    <t>HAF - Town of Pictou</t>
  </si>
  <si>
    <t>HAF - Town of Wolfville</t>
  </si>
  <si>
    <t>HAF - West Hants Regional Municipality</t>
  </si>
  <si>
    <t>HAF - City of Iqaluit</t>
  </si>
  <si>
    <t>Nunavut</t>
  </si>
  <si>
    <t>HAF - Municipality of Arctic Bay</t>
  </si>
  <si>
    <t>HAF - Municipality of Arviat</t>
  </si>
  <si>
    <t>HAF - Municipality of Baker Lake</t>
  </si>
  <si>
    <t>HAF - Municipality of Cambridge Bay</t>
  </si>
  <si>
    <t>HAF - Municipality of Chesterfield Inlet</t>
  </si>
  <si>
    <t>HAF - Municipality of Clyde River</t>
  </si>
  <si>
    <t>HAF - Municipality of Gjoa Haven</t>
  </si>
  <si>
    <t>1/22/2024</t>
  </si>
  <si>
    <t>HAF - Municipality of Grise Fiord</t>
  </si>
  <si>
    <t>HAF - Municipality of Igloolik</t>
  </si>
  <si>
    <t>HAF - Municipality of Kimmirut</t>
  </si>
  <si>
    <t>HAF - Municipality of Kinngait</t>
  </si>
  <si>
    <t>HAF - Municipality of Kugaaruk</t>
  </si>
  <si>
    <t>HAF - Municipality of Kugluktuk</t>
  </si>
  <si>
    <t>HAF - Municipality of Pangnirtung</t>
  </si>
  <si>
    <t>HAF - Municipality of Pond Inlet</t>
  </si>
  <si>
    <t>HAF - Municipality of Qikiqtarjuaq</t>
  </si>
  <si>
    <t>HAF - Municipality of Rankin Inlet</t>
  </si>
  <si>
    <t>HAF - Municipality of Resolute Bay</t>
  </si>
  <si>
    <t>HAF - Municipality of Sanikiluaq</t>
  </si>
  <si>
    <t>HAF - Municipality of Taloyoak</t>
  </si>
  <si>
    <t>HAF - Municipality of Whale Cove</t>
  </si>
  <si>
    <t>HAF - Aroland First Nation</t>
  </si>
  <si>
    <t>Ontario</t>
  </si>
  <si>
    <t>HAF - Brampton</t>
  </si>
  <si>
    <t>HAF - City of Barrie</t>
  </si>
  <si>
    <t>HAF - City of Cambridge</t>
  </si>
  <si>
    <t>HAF - City of Kingston</t>
  </si>
  <si>
    <t>HAF - City of Thunder Bay</t>
  </si>
  <si>
    <t>HAF - Guelph</t>
  </si>
  <si>
    <t>HAF - Hamilton</t>
  </si>
  <si>
    <t>HAF - Kitchener</t>
  </si>
  <si>
    <t>10/26/2023</t>
  </si>
  <si>
    <t>HAF - London</t>
  </si>
  <si>
    <t>HAF - Long Lake #58 First Nation</t>
  </si>
  <si>
    <t>HAF - Markham</t>
  </si>
  <si>
    <t>HAF - Milton</t>
  </si>
  <si>
    <t>12/18/2023</t>
  </si>
  <si>
    <t>HAF - Mississauga</t>
  </si>
  <si>
    <t>HAF - Municipality of North Grenville</t>
  </si>
  <si>
    <t>HAF - Muskrat Dam Lake First Nation</t>
  </si>
  <si>
    <t>HAF - Ottawa</t>
  </si>
  <si>
    <t>HAF - Red Rock Indian Band</t>
  </si>
  <si>
    <t>HAF - Richmond Hill</t>
  </si>
  <si>
    <t>11/15/2023</t>
  </si>
  <si>
    <t>HAF - Shoal Lake No.40 First Nation</t>
  </si>
  <si>
    <t>HAF - St. Catharines</t>
  </si>
  <si>
    <t>HAF - The Corporation of the City of Burlington</t>
  </si>
  <si>
    <t>HAF - The Corporation of the Town of Tecumseh</t>
  </si>
  <si>
    <t>HAF - Toronto</t>
  </si>
  <si>
    <t>HAF - Town of Ajax</t>
  </si>
  <si>
    <t>HAF - Town of Marathon</t>
  </si>
  <si>
    <t>HAF - Town of Whitby</t>
  </si>
  <si>
    <t>12/31/2023</t>
  </si>
  <si>
    <t>HAF - Township of Woolwich</t>
  </si>
  <si>
    <t>HAF - Vaughan</t>
  </si>
  <si>
    <t>HAF - Wapekeka First Nation</t>
  </si>
  <si>
    <t>HAF - Waterloo</t>
  </si>
  <si>
    <t>12/13/2023</t>
  </si>
  <si>
    <t>HAF - Webequie First Nation</t>
  </si>
  <si>
    <t>HAF - Whitesand First Nation</t>
  </si>
  <si>
    <t>HAF - Wunnumin Lake First Nation</t>
  </si>
  <si>
    <t>HAF - Charlottetown</t>
  </si>
  <si>
    <t>Prince Edward Island</t>
  </si>
  <si>
    <t>HAF - City of Summerside</t>
  </si>
  <si>
    <t>HAF - Rural Municipality of Wellington</t>
  </si>
  <si>
    <t>HAF - Town of Cornwall</t>
  </si>
  <si>
    <t>HAF - Town of O'Leary</t>
  </si>
  <si>
    <t>HAF - Town of Three Rivers</t>
  </si>
  <si>
    <t>HAF - La province de Québec</t>
  </si>
  <si>
    <t>Quebec</t>
  </si>
  <si>
    <t>Province</t>
  </si>
  <si>
    <t>10/24/2023</t>
  </si>
  <si>
    <t>HAF - Listuguj Mi'gmaq Government</t>
  </si>
  <si>
    <t>HAF - Buffalo River Dene Nation</t>
  </si>
  <si>
    <t>Saskatchewan</t>
  </si>
  <si>
    <t>HAF - Humboldt</t>
  </si>
  <si>
    <t>HAF - Outlook</t>
  </si>
  <si>
    <t>HAF - Regina</t>
  </si>
  <si>
    <t>HAF - Saskatoon</t>
  </si>
  <si>
    <t>HAF - Town of Moosomin</t>
  </si>
  <si>
    <t>2/14/2024</t>
  </si>
  <si>
    <t>HAF - Carmacks</t>
  </si>
  <si>
    <t>Yukon</t>
  </si>
  <si>
    <t>HAF - City of Dawson</t>
  </si>
  <si>
    <t>HAF - City of Whitehorse</t>
  </si>
  <si>
    <t>HAF - Haines Junction</t>
  </si>
  <si>
    <t>HAF - Kwanlin Dun First Nation</t>
  </si>
  <si>
    <t>HAF - Ta'an Kwäch'än Council</t>
  </si>
  <si>
    <t>HAF - Watson Lake</t>
  </si>
  <si>
    <t>cmhc_metric:Ve6KUlQzwZqNNtqPkrsjGm2XFHtbAofiBCAqiPY1QrJHxszLaYnehx5bnn8Q9c111eBRa9ujxijhGPuKgbhyGg==:cmhc_metricid=%28Do%20Not%20Modify%29%20Metric&amp;checksumLogicalName=%28Do%20Not%20Modify%29%20Row%20Checksum&amp;modifiedon=%28Do%20Not%20Modify%29%20Modified%20On&amp;cmhc_clientprogramid=Client%20Program&amp;cmhc_projectedwithprogramverifiedqty=Projected%20With%20Program%20-%20Verified&amp;cmhc_projectedwithoutprogramverifiedqty=Projected%20Without%20Program%20-%20Verified&amp;cmhc_projectedprogramincentedverifiedqty=Projected%20Program%20Incented%20-%20Verified</t>
  </si>
  <si>
    <t xml:space="preserve"> # units Projected With Program</t>
  </si>
  <si>
    <t>Total Funding (as of March 31)</t>
  </si>
  <si>
    <t xml:space="preserve"> # units Projected With Program (as of March 31 2025)</t>
  </si>
  <si>
    <t xml:space="preserve"> # units Projected Incented by Program (as of March 31 2025)</t>
  </si>
  <si>
    <t xml:space="preserve">Increase in projected units </t>
  </si>
  <si>
    <t>HAF - Town of Stratford</t>
  </si>
  <si>
    <t>HAF - Ville d'Edmundston</t>
  </si>
  <si>
    <t>Program</t>
  </si>
  <si>
    <t>Client Program Name</t>
  </si>
  <si>
    <t>Application Stream</t>
  </si>
  <si>
    <t>Housing Accelerator Fund</t>
  </si>
  <si>
    <t>Housing Accelerator Fund Round 2</t>
  </si>
  <si>
    <t>HAF 2 - City of Leduc</t>
  </si>
  <si>
    <t>HAF 2 - The City of Red Deer</t>
  </si>
  <si>
    <t>HAF 2 - St. Albert</t>
  </si>
  <si>
    <t>HAF 2 - Parks Canada (Jasper)</t>
  </si>
  <si>
    <t>Other (Please specify)</t>
  </si>
  <si>
    <t>HAF 2 - High Level</t>
  </si>
  <si>
    <t>HAF 2 - Resort Municipality of Whistler</t>
  </si>
  <si>
    <t>HAF 2 - City of Maple Ridge</t>
  </si>
  <si>
    <t>HAF 2 - City of Delta</t>
  </si>
  <si>
    <t>HAF 2 - City of West Kelowna</t>
  </si>
  <si>
    <t>HAF 2 - City of Port Coquitlam</t>
  </si>
  <si>
    <t>HAF 2 - Tsleil-Waututh Nation</t>
  </si>
  <si>
    <t>HAF 2 - Squamish Nation</t>
  </si>
  <si>
    <t>HAF 2 - Musqueam Indian Band (MIB)</t>
  </si>
  <si>
    <t>HAF 2 - Village of St-Pierre-Jolys</t>
  </si>
  <si>
    <t>HAF 2 - Rural Municipality of Ritchot</t>
  </si>
  <si>
    <t>HAF 2 - Rural Municipality of Lorne</t>
  </si>
  <si>
    <t>HAF 2 - Ville de Dieppe</t>
  </si>
  <si>
    <t>HAF 2 - Ville de Belle-Baie</t>
  </si>
  <si>
    <t>HAF 2 - City of Miramichi</t>
  </si>
  <si>
    <t>HAF 2 - Nackawic-Millville Rural Community</t>
  </si>
  <si>
    <t>HAF 2 - Municipalité des Hautes-Terres</t>
  </si>
  <si>
    <t>HAF 2 - Town of Torbay</t>
  </si>
  <si>
    <t>HAF 2 - Pasadena</t>
  </si>
  <si>
    <t>HAF 2 - Fort Smith</t>
  </si>
  <si>
    <t>HAF 2 - Town of Mahone Bay</t>
  </si>
  <si>
    <t>HAF 2 - Town of Bridgewater</t>
  </si>
  <si>
    <t>HAF 2 - Municipality of the District of Shelburne</t>
  </si>
  <si>
    <t>HAF 2 - Town of Amherst</t>
  </si>
  <si>
    <t>HAF 2 - Town of Digby</t>
  </si>
  <si>
    <t>HAF 2 - Town of Middleton</t>
  </si>
  <si>
    <t>HAF 2 - Town of Yarmouth</t>
  </si>
  <si>
    <t>HAF 2 - Municipality of the District of St. Mary's</t>
  </si>
  <si>
    <t>HAF 2 - City of Sault Ste. Marie</t>
  </si>
  <si>
    <t>HAF 2 - Town of Whitchurch-Stouffville</t>
  </si>
  <si>
    <t>HAF 2 - Loyalist Township</t>
  </si>
  <si>
    <t>HAF 2 - Orillia</t>
  </si>
  <si>
    <t>HAF 2 - City of Belleville</t>
  </si>
  <si>
    <t>HAF 2 - The Corporation of the Municipality of Strathroy-Caradoc</t>
  </si>
  <si>
    <t>HAF 2 - The Town of Georgina</t>
  </si>
  <si>
    <t>HAF 2 - City of Port Colborne</t>
  </si>
  <si>
    <t>HAF 2 - Town of Carleton Place</t>
  </si>
  <si>
    <t>HAF 2 - City of St. Thomas</t>
  </si>
  <si>
    <t>HAF 2 - Municipality of Chatham-Kent</t>
  </si>
  <si>
    <t>HAF 2 - Lakeshore</t>
  </si>
  <si>
    <t>HAF 2 - City of Greater Sudbury</t>
  </si>
  <si>
    <t>HAF 2 - Municipality of Middlesex Centre</t>
  </si>
  <si>
    <t>HAF 2 - City of Peterborough</t>
  </si>
  <si>
    <t>HAF 2 - Town of Saugeen Shores</t>
  </si>
  <si>
    <t>HAF 2 - City of North Bay</t>
  </si>
  <si>
    <t>HAF 2 - Municipality of Mississippi Mills</t>
  </si>
  <si>
    <t>HAF 2 - Caledon</t>
  </si>
  <si>
    <t>HAF 2 - The Municipality of North Middlesex</t>
  </si>
  <si>
    <t>HAF 2 - Lucan Biddulph</t>
  </si>
  <si>
    <t>HAF 2 - Seguin Township</t>
  </si>
  <si>
    <t>HAF 2 - Town of Espanola</t>
  </si>
  <si>
    <t>HAF 2 - The Corporation of the Municipality of Brockton</t>
  </si>
  <si>
    <t>HAF 2 - Ginoogaming First Nation</t>
  </si>
  <si>
    <t>HAF 2 - Temagami First Nation</t>
  </si>
  <si>
    <t>HAF 2 - Town of Alberton</t>
  </si>
  <si>
    <t>HAF 2 - La province de Québec</t>
  </si>
  <si>
    <t>HAF 2 - Town of La Ronge</t>
  </si>
  <si>
    <t>HAF 2 - Town of Radisson</t>
  </si>
  <si>
    <t>HAF 2 - Faro</t>
  </si>
  <si>
    <t>Total</t>
  </si>
  <si>
    <t>Current Funding</t>
  </si>
  <si>
    <t>Current 3-Year Target for Total Supply</t>
  </si>
  <si>
    <t>Sum of Current Funding</t>
  </si>
  <si>
    <t>All</t>
  </si>
  <si>
    <t>Sum of Current 3-Year Target for Total Supply</t>
  </si>
  <si>
    <t>Values</t>
  </si>
  <si>
    <t>Funding Round</t>
  </si>
  <si>
    <t>Baseline 3-Year Supply</t>
  </si>
  <si>
    <t>Sum of Baseline 3-Year Supply</t>
  </si>
  <si>
    <t>Agreements under the Housing Accelerator Fund</t>
  </si>
  <si>
    <t>Funding Recipient</t>
  </si>
  <si>
    <t>Distinct Count of Funding Recipient</t>
  </si>
  <si>
    <t>Round One Funding</t>
  </si>
  <si>
    <t>Sum of Round One Funding</t>
  </si>
  <si>
    <t>Round One 3-Year Target for Incremental Supply</t>
  </si>
  <si>
    <t>Current 3-Year Target for Incremental Supply</t>
  </si>
  <si>
    <t>Current 10-Year Target for Incremental Supply</t>
  </si>
  <si>
    <t>Sum of Current 3-Year Target for Incremental Supply</t>
  </si>
  <si>
    <t>Sum of Round One 3-Year Target for Incremental Supply</t>
  </si>
  <si>
    <t>Sum of Current 10-Year Target for Incremental Supply</t>
  </si>
  <si>
    <t>This workbook was prepared by the Office of the Parliamentary Budget Officer based on data provided by Canada Mortgage and Housing Corporation. It is current to March 2025. This document will not be maintained as an evergreen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</si>
</sst>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quot;$&quot;#,##0"/>
    <numFmt numFmtId="167" formatCode="_-&quot;$&quot;* #,##0_-;\-&quot;$&quot;* #,##0_-;_-&quot;$&quot;* &quot;-&quot;??_-;_-@_-"/>
  </numFmts>
  <fonts count="13" x14ac:knownFonts="1">
    <font>
      <sz val="11"/>
      <name val="Aptos Narrow"/>
    </font>
    <font>
      <sz val="11"/>
      <color theme="1"/>
      <name val="Aptos Narrow"/>
      <family val="2"/>
      <scheme val="minor"/>
    </font>
    <font>
      <sz val="11"/>
      <color theme="1"/>
      <name val="Aptos Narrow"/>
      <family val="2"/>
      <scheme val="minor"/>
    </font>
    <font>
      <sz val="11"/>
      <color theme="1"/>
      <name val="Aptos Narrow"/>
      <family val="2"/>
      <scheme val="minor"/>
    </font>
    <font>
      <sz val="11"/>
      <name val="Aptos Narrow"/>
      <family val="2"/>
    </font>
    <font>
      <sz val="11"/>
      <color rgb="FFFF0000"/>
      <name val="Aptos Narrow"/>
      <family val="2"/>
      <scheme val="minor"/>
    </font>
    <font>
      <sz val="11"/>
      <color theme="0"/>
      <name val="Aptos Narrow"/>
      <family val="2"/>
      <scheme val="minor"/>
    </font>
    <font>
      <b/>
      <sz val="11"/>
      <color theme="0"/>
      <name val="Aptos Narrow"/>
      <family val="2"/>
    </font>
    <font>
      <sz val="8"/>
      <name val="Aptos Narrow"/>
      <family val="2"/>
    </font>
    <font>
      <sz val="11"/>
      <name val="Aptos Narrow"/>
      <family val="2"/>
      <scheme val="minor"/>
    </font>
    <font>
      <sz val="11"/>
      <color theme="0"/>
      <name val="Aptos Narrow"/>
      <family val="2"/>
    </font>
    <font>
      <sz val="11"/>
      <color theme="0"/>
      <name val="Aptos Narrow"/>
      <family val="2"/>
    </font>
    <font>
      <b/>
      <sz val="15"/>
      <color theme="3"/>
      <name val="Aptos Narrow"/>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4"/>
        <bgColor theme="4"/>
      </patternFill>
    </fill>
  </fills>
  <borders count="4">
    <border>
      <left/>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bottom style="thick">
        <color theme="4"/>
      </bottom>
      <diagonal/>
    </border>
  </borders>
  <cellStyleXfs count="5">
    <xf numFmtId="0" fontId="0"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12" fillId="0" borderId="3" applyNumberFormat="0" applyFill="0" applyAlignment="0" applyProtection="0"/>
  </cellStyleXfs>
  <cellXfs count="39">
    <xf numFmtId="0" fontId="0" fillId="0" borderId="0" xfId="0"/>
    <xf numFmtId="14" fontId="0" fillId="0" borderId="0" xfId="0" applyNumberFormat="1" applyAlignment="1">
      <alignment horizontal="right"/>
    </xf>
    <xf numFmtId="43" fontId="0" fillId="0" borderId="0" xfId="1" applyFont="1"/>
    <xf numFmtId="164" fontId="0" fillId="0" borderId="0" xfId="1" applyNumberFormat="1" applyFont="1"/>
    <xf numFmtId="43" fontId="4" fillId="0" borderId="0" xfId="0" applyNumberFormat="1" applyFont="1"/>
    <xf numFmtId="164" fontId="4" fillId="0" borderId="0" xfId="0" applyNumberFormat="1" applyFont="1"/>
    <xf numFmtId="0" fontId="0" fillId="0" borderId="0" xfId="0" applyFill="1"/>
    <xf numFmtId="0" fontId="0" fillId="0" borderId="0" xfId="0" applyAlignment="1">
      <alignment vertical="top" wrapText="1"/>
    </xf>
    <xf numFmtId="14" fontId="0" fillId="0" borderId="0" xfId="0" applyNumberFormat="1" applyAlignment="1">
      <alignment horizontal="right" vertical="top" wrapText="1"/>
    </xf>
    <xf numFmtId="43" fontId="0" fillId="0" borderId="0" xfId="1" applyFont="1" applyAlignment="1">
      <alignment vertical="top" wrapText="1"/>
    </xf>
    <xf numFmtId="164" fontId="0" fillId="0" borderId="0" xfId="1" applyNumberFormat="1" applyFont="1" applyAlignment="1">
      <alignment vertical="top" wrapText="1"/>
    </xf>
    <xf numFmtId="164" fontId="4" fillId="0" borderId="0" xfId="1" applyNumberFormat="1" applyFont="1" applyAlignment="1">
      <alignment vertical="top" wrapText="1"/>
    </xf>
    <xf numFmtId="164" fontId="4" fillId="2" borderId="0" xfId="1" applyNumberFormat="1" applyFont="1" applyFill="1" applyAlignment="1">
      <alignment vertical="top" wrapText="1"/>
    </xf>
    <xf numFmtId="0" fontId="4" fillId="2" borderId="0" xfId="0" applyFont="1" applyFill="1" applyAlignment="1">
      <alignment vertical="top" wrapText="1"/>
    </xf>
    <xf numFmtId="0" fontId="3" fillId="0" borderId="0" xfId="2"/>
    <xf numFmtId="14" fontId="3" fillId="0" borderId="0" xfId="2" applyNumberFormat="1"/>
    <xf numFmtId="164" fontId="0" fillId="0" borderId="0" xfId="3" applyNumberFormat="1" applyFont="1"/>
    <xf numFmtId="0" fontId="5" fillId="0" borderId="0" xfId="2" applyFont="1"/>
    <xf numFmtId="165" fontId="0" fillId="0" borderId="0" xfId="3" applyNumberFormat="1" applyFont="1"/>
    <xf numFmtId="0" fontId="9" fillId="0" borderId="0" xfId="2" applyFont="1"/>
    <xf numFmtId="0" fontId="6" fillId="0" borderId="0" xfId="2" applyFont="1" applyAlignment="1">
      <alignment vertical="top" wrapText="1"/>
    </xf>
    <xf numFmtId="14" fontId="6" fillId="0" borderId="0" xfId="2" applyNumberFormat="1" applyFont="1" applyAlignment="1">
      <alignment vertical="top" wrapText="1"/>
    </xf>
    <xf numFmtId="164" fontId="10" fillId="0" borderId="0" xfId="3" applyNumberFormat="1" applyFont="1" applyAlignment="1">
      <alignment vertical="top" wrapText="1"/>
    </xf>
    <xf numFmtId="14" fontId="0" fillId="0" borderId="0" xfId="0" applyNumberFormat="1"/>
    <xf numFmtId="0" fontId="7" fillId="3" borderId="1" xfId="0" applyFont="1" applyFill="1" applyBorder="1" applyAlignment="1">
      <alignment vertical="top" wrapText="1"/>
    </xf>
    <xf numFmtId="0" fontId="7" fillId="3" borderId="2" xfId="0" applyFont="1" applyFill="1" applyBorder="1" applyAlignment="1">
      <alignment vertical="top" wrapText="1"/>
    </xf>
    <xf numFmtId="14" fontId="7" fillId="3" borderId="2" xfId="0" applyNumberFormat="1" applyFont="1" applyFill="1" applyBorder="1" applyAlignment="1">
      <alignment horizontal="right" vertical="top" wrapText="1"/>
    </xf>
    <xf numFmtId="164" fontId="7" fillId="3" borderId="2" xfId="1" applyNumberFormat="1" applyFont="1" applyFill="1" applyBorder="1" applyAlignment="1">
      <alignment vertical="top" wrapText="1"/>
    </xf>
    <xf numFmtId="0" fontId="0" fillId="0" borderId="0" xfId="0" applyNumberFormat="1"/>
    <xf numFmtId="164" fontId="0" fillId="0" borderId="0" xfId="0" applyNumberFormat="1"/>
    <xf numFmtId="0" fontId="0" fillId="0" borderId="0" xfId="0" pivotButton="1"/>
    <xf numFmtId="0" fontId="2" fillId="0" borderId="0" xfId="0" applyFont="1" applyFill="1" applyBorder="1" applyAlignment="1" applyProtection="1"/>
    <xf numFmtId="164" fontId="11" fillId="0" borderId="0" xfId="3" applyNumberFormat="1" applyFont="1" applyAlignment="1">
      <alignment vertical="top" wrapText="1"/>
    </xf>
    <xf numFmtId="0" fontId="0" fillId="0" borderId="0" xfId="0" applyAlignment="1">
      <alignment horizontal="left"/>
    </xf>
    <xf numFmtId="0" fontId="1" fillId="0" borderId="0" xfId="0" applyNumberFormat="1" applyFont="1" applyFill="1" applyBorder="1" applyAlignment="1" applyProtection="1"/>
    <xf numFmtId="0" fontId="12" fillId="0" borderId="3" xfId="4"/>
    <xf numFmtId="167" fontId="0" fillId="0" borderId="0" xfId="0" applyNumberFormat="1"/>
    <xf numFmtId="0" fontId="4" fillId="0" borderId="0" xfId="0" applyFont="1" applyAlignment="1">
      <alignment horizontal="center" wrapText="1"/>
    </xf>
    <xf numFmtId="0" fontId="0" fillId="0" borderId="0" xfId="0" applyFont="1" applyAlignment="1">
      <alignment horizontal="center" wrapText="1"/>
    </xf>
  </cellXfs>
  <cellStyles count="5">
    <cellStyle name="Comma" xfId="1" builtinId="3"/>
    <cellStyle name="Comma 2" xfId="3" xr:uid="{50B92AE7-D71D-4E68-8A53-773C16ABC964}"/>
    <cellStyle name="Heading 1" xfId="4" builtinId="16"/>
    <cellStyle name="Normal" xfId="0" builtinId="0"/>
    <cellStyle name="Normal 2" xfId="2" xr:uid="{ECE780B7-07CA-4676-A12A-2EE582C3E7BC}"/>
  </cellStyles>
  <dxfs count="62">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8" formatCode="dd/mm/yyyy"/>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Aptos Narrow"/>
        <family val="2"/>
        <scheme val="none"/>
      </font>
      <numFmt numFmtId="164" formatCode="_-* #,##0_-;\-* #,##0_-;_-* &quot;-&quot;??_-;_-@_-"/>
      <fill>
        <patternFill patternType="solid">
          <fgColor theme="4"/>
          <bgColor theme="4"/>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auto="1"/>
        <name val="Aptos Narrow"/>
        <family val="2"/>
        <scheme val="none"/>
      </font>
      <numFmt numFmtId="35" formatCode="_-* #,##0.00_-;\-* #,##0.00_-;_-* &quot;-&quot;??_-;_-@_-"/>
    </dxf>
    <dxf>
      <numFmt numFmtId="168" formatCode="dd/mm/yyyy"/>
      <alignment horizontal="right" vertical="bottom" textRotation="0" wrapText="0" indent="0" justifyLastLine="0" shrinkToFit="0" readingOrder="0"/>
    </dxf>
    <dxf>
      <numFmt numFmtId="168" formatCode="dd/mm/yyyy"/>
      <alignment horizontal="right" vertical="bottom" textRotation="0" wrapText="0" indent="0" justifyLastLine="0" shrinkToFit="0" readingOrder="0"/>
    </dxf>
    <dxf>
      <alignment vertical="top" textRotation="0" wrapText="1" indent="0" justifyLastLine="0" shrinkToFit="0" readingOrder="0"/>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font>
        <b val="0"/>
        <i val="0"/>
        <strike val="0"/>
        <condense val="0"/>
        <extend val="0"/>
        <outline val="0"/>
        <shadow val="0"/>
        <u val="none"/>
        <vertAlign val="baseline"/>
        <sz val="11"/>
        <color auto="1"/>
        <name val="Aptos Narrow"/>
        <scheme val="none"/>
      </font>
      <numFmt numFmtId="164" formatCode="_-* #,##0_-;\-* #,##0_-;_-* &quot;-&quot;??_-;_-@_-"/>
    </dxf>
    <dxf>
      <font>
        <b val="0"/>
        <i val="0"/>
        <strike val="0"/>
        <condense val="0"/>
        <extend val="0"/>
        <outline val="0"/>
        <shadow val="0"/>
        <u val="none"/>
        <vertAlign val="baseline"/>
        <sz val="11"/>
        <color auto="1"/>
        <name val="Aptos Narrow"/>
        <family val="2"/>
        <scheme val="none"/>
      </font>
      <numFmt numFmtId="164" formatCode="_-* #,##0_-;\-* #,##0_-;_-* &quot;-&quot;??_-;_-@_-"/>
    </dxf>
    <dxf>
      <numFmt numFmtId="164" formatCode="_-* #,##0_-;\-* #,##0_-;_-* &quot;-&quot;??_-;_-@_-"/>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yyyy/mm/dd"/>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8" formatCode="dd/mm/yyyy"/>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0" formatCode="General"/>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0" formatCode="General"/>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0" formatCode="General"/>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0" formatCode="General"/>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0" formatCode="General"/>
    </dxf>
    <dxf>
      <font>
        <strike val="0"/>
        <outline val="0"/>
        <shadow val="0"/>
        <u val="none"/>
        <vertAlign val="baseline"/>
        <sz val="11"/>
        <color theme="0"/>
        <name val="Aptos Narrow"/>
      </font>
      <alignment horizontal="general" vertical="top" textRotation="0" wrapText="1" indent="0" justifyLastLine="0" shrinkToFit="0" readingOrder="0"/>
    </dxf>
    <dxf>
      <numFmt numFmtId="167" formatCode="_-&quot;$&quot;* #,##0_-;\-&quot;$&quot;* #,##0_-;_-&quot;$&quot;* &quot;-&quot;??_-;_-@_-"/>
    </dxf>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egel-Brown, Ben : PBO-DPB" refreshedDate="45853.620806944447" backgroundQuery="1" createdVersion="8" refreshedVersion="8" minRefreshableVersion="3" recordCount="0" supportSubquery="1" supportAdvancedDrill="1" xr:uid="{5F1BB9FC-EFDD-4D54-A99D-A91EFA8EC6D6}">
  <cacheSource type="external" connectionId="2"/>
  <cacheFields count="13">
    <cacheField name="[HAF].[Province].[Province]" caption="Province" numFmtId="0" hierarchy="3" level="1">
      <sharedItems containsSemiMixedTypes="0" containsNonDate="0" containsString="0"/>
    </cacheField>
    <cacheField name="[HAF].[Application Stream].[Application Stream]" caption="Application Stream" numFmtId="0" hierarchy="4" level="1">
      <sharedItems containsSemiMixedTypes="0" containsNonDate="0" containsString="0"/>
    </cacheField>
    <cacheField name="[HAF].[Proponent Type].[Proponent Type]" caption="Proponent Type" numFmtId="0" hierarchy="5" level="1">
      <sharedItems containsSemiMixedTypes="0" containsNonDate="0" containsString="0"/>
    </cacheField>
    <cacheField name="[Measures].[Sum of Current Funding]" caption="Sum of Current Funding" numFmtId="0" hierarchy="17" level="32767"/>
    <cacheField name="[Measures].[Sum of Current 3-Year Target for Total Supply]" caption="Sum of Current 3-Year Target for Total Supply" numFmtId="0" hierarchy="18" level="32767"/>
    <cacheField name="[HAF].[Funding Recipient].[Funding Recipient]" caption="Funding Recipient" numFmtId="0" hierarchy="7" level="1">
      <sharedItems containsSemiMixedTypes="0" containsNonDate="0" containsString="0"/>
    </cacheField>
    <cacheField name="[HAF].[Funding Round].[Funding Round]" caption="Funding Round" numFmtId="0" hierarchy="1" level="1">
      <sharedItems containsSemiMixedTypes="0" containsNonDate="0" containsString="0"/>
    </cacheField>
    <cacheField name="[Measures].[Sum of Baseline 3-Year Supply]" caption="Sum of Baseline 3-Year Supply" numFmtId="0" hierarchy="21" level="32767"/>
    <cacheField name="[Measures].[Distinct Count of Funding Recipient]" caption="Distinct Count of Funding Recipient" numFmtId="0" hierarchy="23" level="32767"/>
    <cacheField name="[Measures].[Sum of Round One Funding]" caption="Sum of Round One Funding" numFmtId="0" hierarchy="24" level="32767"/>
    <cacheField name="[Measures].[Sum of Current 3-Year Target for Incremental Supply]" caption="Sum of Current 3-Year Target for Incremental Supply" numFmtId="0" hierarchy="25" level="32767"/>
    <cacheField name="[Measures].[Sum of Round One 3-Year Target for Incremental Supply]" caption="Sum of Round One 3-Year Target for Incremental Supply" numFmtId="0" hierarchy="26" level="32767"/>
    <cacheField name="[Measures].[Sum of Current 10-Year Target for Incremental Supply]" caption="Sum of Current 10-Year Target for Incremental Supply" numFmtId="0" hierarchy="27" level="32767"/>
  </cacheFields>
  <cacheHierarchies count="28">
    <cacheHierarchy uniqueName="[HAF].[Program]" caption="Program" attribute="1" defaultMemberUniqueName="[HAF].[Program].[All]" allUniqueName="[HAF].[Program].[All]" dimensionUniqueName="[HAF]" displayFolder="" count="0" memberValueDatatype="130" unbalanced="0"/>
    <cacheHierarchy uniqueName="[HAF].[Funding Round]" caption="Funding Round" attribute="1" defaultMemberUniqueName="[HAF].[Funding Round].[All]" allUniqueName="[HAF].[Funding Round].[All]" dimensionUniqueName="[HAF]" displayFolder="" count="2" memberValueDatatype="130" unbalanced="0">
      <fieldsUsage count="2">
        <fieldUsage x="-1"/>
        <fieldUsage x="6"/>
      </fieldsUsage>
    </cacheHierarchy>
    <cacheHierarchy uniqueName="[HAF].[Client Program Name]" caption="Client Program Name" attribute="1" defaultMemberUniqueName="[HAF].[Client Program Name].[All]" allUniqueName="[HAF].[Client Program Name].[All]" dimensionUniqueName="[HAF]" displayFolder="" count="0" memberValueDatatype="130" unbalanced="0"/>
    <cacheHierarchy uniqueName="[HAF].[Province]" caption="Province" attribute="1" defaultMemberUniqueName="[HAF].[Province].[All]" allUniqueName="[HAF].[Province].[All]" dimensionUniqueName="[HAF]" displayFolder="" count="2" memberValueDatatype="130" unbalanced="0">
      <fieldsUsage count="2">
        <fieldUsage x="-1"/>
        <fieldUsage x="0"/>
      </fieldsUsage>
    </cacheHierarchy>
    <cacheHierarchy uniqueName="[HAF].[Application Stream]" caption="Application Stream" attribute="1" defaultMemberUniqueName="[HAF].[Application Stream].[All]" allUniqueName="[HAF].[Application Stream].[All]" dimensionUniqueName="[HAF]" displayFolder="" count="2" memberValueDatatype="130" unbalanced="0">
      <fieldsUsage count="2">
        <fieldUsage x="-1"/>
        <fieldUsage x="1"/>
      </fieldsUsage>
    </cacheHierarchy>
    <cacheHierarchy uniqueName="[HAF].[Proponent Type]" caption="Proponent Type" attribute="1" defaultMemberUniqueName="[HAF].[Proponent Type].[All]" allUniqueName="[HAF].[Proponent Type].[All]" dimensionUniqueName="[HAF]" displayFolder="" count="2" memberValueDatatype="130" unbalanced="0">
      <fieldsUsage count="2">
        <fieldUsage x="-1"/>
        <fieldUsage x="2"/>
      </fieldsUsage>
    </cacheHierarchy>
    <cacheHierarchy uniqueName="[HAF].[Effective Agreement Date]" caption="Effective Agreement Date" attribute="1" time="1" defaultMemberUniqueName="[HAF].[Effective Agreement Date].[All]" allUniqueName="[HAF].[Effective Agreement Date].[All]" dimensionUniqueName="[HAF]" displayFolder="" count="0" memberValueDatatype="7" unbalanced="0"/>
    <cacheHierarchy uniqueName="[HAF].[Funding Recipient]" caption="Funding Recipient" attribute="1" defaultMemberUniqueName="[HAF].[Funding Recipient].[All]" allUniqueName="[HAF].[Funding Recipient].[All]" dimensionUniqueName="[HAF]" displayFolder="" count="2" memberValueDatatype="130" unbalanced="0">
      <fieldsUsage count="2">
        <fieldUsage x="-1"/>
        <fieldUsage x="5"/>
      </fieldsUsage>
    </cacheHierarchy>
    <cacheHierarchy uniqueName="[HAF].[Current Funding]" caption="Current Funding" attribute="1" defaultMemberUniqueName="[HAF].[Current Funding].[All]" allUniqueName="[HAF].[Current Funding].[All]" dimensionUniqueName="[HAF]" displayFolder="" count="0" memberValueDatatype="5" unbalanced="0"/>
    <cacheHierarchy uniqueName="[HAF].[Round One Funding]" caption="Round One Funding" attribute="1" defaultMemberUniqueName="[HAF].[Round One Funding].[All]" allUniqueName="[HAF].[Round One Funding].[All]" dimensionUniqueName="[HAF]" displayFolder="" count="0" memberValueDatatype="20" unbalanced="0"/>
    <cacheHierarchy uniqueName="[HAF].[Baseline 3-Year Supply]" caption="Baseline 3-Year Supply" attribute="1" defaultMemberUniqueName="[HAF].[Baseline 3-Year Supply].[All]" allUniqueName="[HAF].[Baseline 3-Year Supply].[All]" dimensionUniqueName="[HAF]" displayFolder="" count="0" memberValueDatatype="20" unbalanced="0"/>
    <cacheHierarchy uniqueName="[HAF].[Current 3-Year Target for Incremental Supply]" caption="Current 3-Year Target for Incremental Supply" attribute="1" defaultMemberUniqueName="[HAF].[Current 3-Year Target for Incremental Supply].[All]" allUniqueName="[HAF].[Current 3-Year Target for Incremental Supply].[All]" dimensionUniqueName="[HAF]" displayFolder="" count="0" memberValueDatatype="20" unbalanced="0"/>
    <cacheHierarchy uniqueName="[HAF].[Round One 3-Year Target for Incremental Supply]" caption="Round One 3-Year Target for Incremental Supply" attribute="1" defaultMemberUniqueName="[HAF].[Round One 3-Year Target for Incremental Supply].[All]" allUniqueName="[HAF].[Round One 3-Year Target for Incremental Supply].[All]" dimensionUniqueName="[HAF]" displayFolder="" count="0" memberValueDatatype="20" unbalanced="0"/>
    <cacheHierarchy uniqueName="[HAF].[Current 3-Year Target for Total Supply]" caption="Current 3-Year Target for Total Supply" attribute="1" defaultMemberUniqueName="[HAF].[Current 3-Year Target for Total Supply].[All]" allUniqueName="[HAF].[Current 3-Year Target for Total Supply].[All]" dimensionUniqueName="[HAF]" displayFolder="" count="0" memberValueDatatype="20" unbalanced="0"/>
    <cacheHierarchy uniqueName="[HAF].[Current 10-Year Target for Incremental Supply]" caption="Current 10-Year Target for Incremental Supply" attribute="1" defaultMemberUniqueName="[HAF].[Current 10-Year Target for Incremental Supply].[All]" allUniqueName="[HAF].[Current 10-Year Target for Incremental Supply].[All]" dimensionUniqueName="[HAF]" displayFolder="" count="0" memberValueDatatype="20" unbalanced="0"/>
    <cacheHierarchy uniqueName="[Measures].[__XL_Count HAF]" caption="__XL_Count HAF" measure="1" displayFolder="" measureGroup="HAF" count="0" hidden="1"/>
    <cacheHierarchy uniqueName="[Measures].[__No measures defined]" caption="__No measures defined" measure="1" displayFolder="" count="0" hidden="1"/>
    <cacheHierarchy uniqueName="[Measures].[Sum of Current Funding]" caption="Sum of Current Funding" measure="1" displayFolder="" measureGroup="HAF" count="0" oneField="1" hidden="1">
      <fieldsUsage count="1">
        <fieldUsage x="3"/>
      </fieldsUsage>
      <extLst>
        <ext xmlns:x15="http://schemas.microsoft.com/office/spreadsheetml/2010/11/main" uri="{B97F6D7D-B522-45F9-BDA1-12C45D357490}">
          <x15:cacheHierarchy aggregatedColumn="8"/>
        </ext>
      </extLst>
    </cacheHierarchy>
    <cacheHierarchy uniqueName="[Measures].[Sum of Current 3-Year Target for Total Supply]" caption="Sum of Current 3-Year Target for Total Supply" measure="1" displayFolder="" measureGroup="HAF"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Client Program Name]" caption="Count of Client Program Name" measure="1" displayFolder="" measureGroup="HAF" count="0" hidden="1">
      <extLst>
        <ext xmlns:x15="http://schemas.microsoft.com/office/spreadsheetml/2010/11/main" uri="{B97F6D7D-B522-45F9-BDA1-12C45D357490}">
          <x15:cacheHierarchy aggregatedColumn="2"/>
        </ext>
      </extLst>
    </cacheHierarchy>
    <cacheHierarchy uniqueName="[Measures].[Distinct Count of Client Program Name]" caption="Distinct Count of Client Program Name" measure="1" displayFolder="" measureGroup="HAF" count="0" hidden="1">
      <extLst>
        <ext xmlns:x15="http://schemas.microsoft.com/office/spreadsheetml/2010/11/main" uri="{B97F6D7D-B522-45F9-BDA1-12C45D357490}">
          <x15:cacheHierarchy aggregatedColumn="2"/>
        </ext>
      </extLst>
    </cacheHierarchy>
    <cacheHierarchy uniqueName="[Measures].[Sum of Baseline 3-Year Supply]" caption="Sum of Baseline 3-Year Supply" measure="1" displayFolder="" measureGroup="HAF" count="0" oneField="1" hidden="1">
      <fieldsUsage count="1">
        <fieldUsage x="7"/>
      </fieldsUsage>
      <extLst>
        <ext xmlns:x15="http://schemas.microsoft.com/office/spreadsheetml/2010/11/main" uri="{B97F6D7D-B522-45F9-BDA1-12C45D357490}">
          <x15:cacheHierarchy aggregatedColumn="10"/>
        </ext>
      </extLst>
    </cacheHierarchy>
    <cacheHierarchy uniqueName="[Measures].[Count of Funding Recipient]" caption="Count of Funding Recipient" measure="1" displayFolder="" measureGroup="HAF" count="0" hidden="1">
      <extLst>
        <ext xmlns:x15="http://schemas.microsoft.com/office/spreadsheetml/2010/11/main" uri="{B97F6D7D-B522-45F9-BDA1-12C45D357490}">
          <x15:cacheHierarchy aggregatedColumn="7"/>
        </ext>
      </extLst>
    </cacheHierarchy>
    <cacheHierarchy uniqueName="[Measures].[Distinct Count of Funding Recipient]" caption="Distinct Count of Funding Recipient" measure="1" displayFolder="" measureGroup="HAF" count="0" oneField="1" hidden="1">
      <fieldsUsage count="1">
        <fieldUsage x="8"/>
      </fieldsUsage>
      <extLst>
        <ext xmlns:x15="http://schemas.microsoft.com/office/spreadsheetml/2010/11/main" uri="{B97F6D7D-B522-45F9-BDA1-12C45D357490}">
          <x15:cacheHierarchy aggregatedColumn="7"/>
        </ext>
      </extLst>
    </cacheHierarchy>
    <cacheHierarchy uniqueName="[Measures].[Sum of Round One Funding]" caption="Sum of Round One Funding" measure="1" displayFolder="" measureGroup="HAF" count="0" oneField="1" hidden="1">
      <fieldsUsage count="1">
        <fieldUsage x="9"/>
      </fieldsUsage>
      <extLst>
        <ext xmlns:x15="http://schemas.microsoft.com/office/spreadsheetml/2010/11/main" uri="{B97F6D7D-B522-45F9-BDA1-12C45D357490}">
          <x15:cacheHierarchy aggregatedColumn="9"/>
        </ext>
      </extLst>
    </cacheHierarchy>
    <cacheHierarchy uniqueName="[Measures].[Sum of Current 3-Year Target for Incremental Supply]" caption="Sum of Current 3-Year Target for Incremental Supply" measure="1" displayFolder="" measureGroup="HAF" count="0" oneField="1" hidden="1">
      <fieldsUsage count="1">
        <fieldUsage x="10"/>
      </fieldsUsage>
      <extLst>
        <ext xmlns:x15="http://schemas.microsoft.com/office/spreadsheetml/2010/11/main" uri="{B97F6D7D-B522-45F9-BDA1-12C45D357490}">
          <x15:cacheHierarchy aggregatedColumn="11"/>
        </ext>
      </extLst>
    </cacheHierarchy>
    <cacheHierarchy uniqueName="[Measures].[Sum of Round One 3-Year Target for Incremental Supply]" caption="Sum of Round One 3-Year Target for Incremental Supply" measure="1" displayFolder="" measureGroup="HAF" count="0" oneField="1" hidden="1">
      <fieldsUsage count="1">
        <fieldUsage x="11"/>
      </fieldsUsage>
      <extLst>
        <ext xmlns:x15="http://schemas.microsoft.com/office/spreadsheetml/2010/11/main" uri="{B97F6D7D-B522-45F9-BDA1-12C45D357490}">
          <x15:cacheHierarchy aggregatedColumn="12"/>
        </ext>
      </extLst>
    </cacheHierarchy>
    <cacheHierarchy uniqueName="[Measures].[Sum of Current 10-Year Target for Incremental Supply]" caption="Sum of Current 10-Year Target for Incremental Supply" measure="1" displayFolder="" measureGroup="HAF" count="0" oneField="1" hidden="1">
      <fieldsUsage count="1">
        <fieldUsage x="12"/>
      </fieldsUsage>
      <extLst>
        <ext xmlns:x15="http://schemas.microsoft.com/office/spreadsheetml/2010/11/main" uri="{B97F6D7D-B522-45F9-BDA1-12C45D357490}">
          <x15:cacheHierarchy aggregatedColumn="14"/>
        </ext>
      </extLst>
    </cacheHierarchy>
  </cacheHierarchies>
  <kpis count="0"/>
  <dimensions count="2">
    <dimension name="HAF" uniqueName="[HAF]" caption="HAF"/>
    <dimension measure="1" name="Measures" uniqueName="[Measures]" caption="Measures"/>
  </dimensions>
  <measureGroups count="1">
    <measureGroup name="HAF" caption="HAF"/>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662F8A-3DF5-4BA7-8822-A0B2AF02CF6B}" name="PivotTable2" cacheId="2"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8:B16" firstHeaderRow="1" firstDataRow="1" firstDataCol="1" rowPageCount="5" colPageCount="1"/>
  <pivotFields count="13">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8">
    <i>
      <x/>
    </i>
    <i i="1">
      <x v="1"/>
    </i>
    <i i="2">
      <x v="2"/>
    </i>
    <i i="3">
      <x v="3"/>
    </i>
    <i i="4">
      <x v="4"/>
    </i>
    <i i="5">
      <x v="5"/>
    </i>
    <i i="6">
      <x v="6"/>
    </i>
    <i i="7">
      <x v="7"/>
    </i>
  </rowItems>
  <colItems count="1">
    <i/>
  </colItems>
  <pageFields count="5">
    <pageField fld="5" hier="7" name="[HAF].[Funding Recipient].[All]" cap="All"/>
    <pageField fld="0" hier="3" name="[HAF].[Province].[All]" cap="All"/>
    <pageField fld="6" hier="1" name="[HAF].[Funding Round].[All]" cap="All"/>
    <pageField fld="1" hier="4" name="[HAF].[Application Stream].[All]" cap="All"/>
    <pageField fld="2" hier="5" name="[HAF].[Proponent Type].[All]" cap="All"/>
  </pageFields>
  <dataFields count="8">
    <dataField name="Distinct Count of Funding Recipient" fld="8" subtotal="count" baseField="0" baseItem="0">
      <extLst>
        <ext xmlns:x15="http://schemas.microsoft.com/office/spreadsheetml/2010/11/main" uri="{FABC7310-3BB5-11E1-824E-6D434824019B}">
          <x15:dataField isCountDistinct="1"/>
        </ext>
      </extLst>
    </dataField>
    <dataField name="Sum of Current Funding" fld="3" baseField="0" baseItem="0" numFmtId="166"/>
    <dataField name="Sum of Round One Funding" fld="9" baseField="0" baseItem="0"/>
    <dataField name="Sum of Baseline 3-Year Supply" fld="7" baseField="0" baseItem="0"/>
    <dataField name="Sum of Current 3-Year Target for Incremental Supply" fld="10" baseField="0" baseItem="0"/>
    <dataField name="Sum of Round One 3-Year Target for Incremental Supply" fld="11" baseField="0" baseItem="0"/>
    <dataField name="Sum of Current 3-Year Target for Total Supply" fld="4" baseField="0" baseItem="0"/>
    <dataField name="Sum of Current 10-Year Target for Incremental Supply" fld="12" baseField="0" baseItem="0"/>
  </dataFields>
  <formats count="2">
    <format dxfId="61">
      <pivotArea collapsedLevelsAreSubtotals="1" fieldPosition="0">
        <references count="1">
          <reference field="4294967294" count="2">
            <x v="3"/>
            <x v="6"/>
          </reference>
        </references>
      </pivotArea>
    </format>
    <format dxfId="60">
      <pivotArea collapsedLevelsAreSubtotals="1" fieldPosition="0">
        <references count="1">
          <reference field="4294967294" count="2">
            <x v="1"/>
            <x v="2"/>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Distinct Count of Client Program Name"/>
    <pivotHierarchy dragToRow="0" dragToCol="0" dragToPage="0" dragToData="1"/>
    <pivotHierarchy dragToRow="0" dragToCol="0" dragToPage="0" dragToData="1"/>
    <pivotHierarchy dragToData="1" caption="Distinct Count of Funding Recipient"/>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HAF - Projected units - With HAF and Without HAF (as of March 31 2025).xlsx!HAF">
        <x15:activeTabTopLevelEntity name="[HAF]"/>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1" connectionId="1" xr16:uid="{67D28A45-710B-4FE6-9E9F-6B32647BB9E7}" autoFormatId="16" applyNumberFormats="0" applyBorderFormats="0" applyFontFormats="0" applyPatternFormats="0" applyAlignmentFormats="0" applyWidthHeightFormats="0">
  <queryTableRefresh nextId="33">
    <queryTableFields count="15">
      <queryTableField id="2" name="cmhc_name_en" tableColumnId="2"/>
      <queryTableField id="32" dataBound="0" tableColumnId="16"/>
      <queryTableField id="3" name="cmhc_projecttitle" tableColumnId="3"/>
      <queryTableField id="18" name="Province" tableColumnId="6"/>
      <queryTableField id="7" name="cmhc_ApplicationStreamTypeCode_en" tableColumnId="7"/>
      <queryTableField id="5" name="cmhc_proponenttype_en" tableColumnId="5"/>
      <queryTableField id="9" name="cmhc_effectiveagreementdate" tableColumnId="9"/>
      <queryTableField id="30" dataBound="0" tableColumnId="8"/>
      <queryTableField id="15" name="cmhc_totalcmhcamount" tableColumnId="15"/>
      <queryTableField id="24" dataBound="0" tableColumnId="1"/>
      <queryTableField id="28" dataBound="0" tableColumnId="11"/>
      <queryTableField id="13" name="cmhc_ProjectedProgramIncentedVerifiedQty" tableColumnId="13"/>
      <queryTableField id="25" dataBound="0" tableColumnId="4"/>
      <queryTableField id="29" dataBound="0" tableColumnId="12"/>
      <queryTableField id="14" name="10_year_units" tableColumnId="14"/>
    </queryTableFields>
    <queryTableDeletedFields count="8">
      <deletedField name="statuscode_en"/>
      <deletedField name="Status Reason Grouped"/>
      <deletedField name="cmhc_allocatedcontributionpos"/>
      <deletedField name="cmhc_municipalityname"/>
      <deletedField name="cmhc_proponentorganizationlegalnameverified"/>
      <deletedField name="cmhc_ptpriority1"/>
      <deletedField name="Announced"/>
      <deletedField name="cmhc_applicationreferencenumber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20C7A3-3802-41E4-BE06-EEB5912E3C8E}" name="HAF" displayName="HAF" ref="A1:O243" tableType="queryTable" totalsRowCount="1" headerRowDxfId="59">
  <autoFilter ref="A1:O242" xr:uid="{906325E8-6DDF-408B-91CA-7959BA8CEA49}"/>
  <sortState xmlns:xlrd2="http://schemas.microsoft.com/office/spreadsheetml/2017/richdata2" ref="A2:O242">
    <sortCondition ref="D1:D242"/>
  </sortState>
  <tableColumns count="15">
    <tableColumn id="2" xr3:uid="{F01A7B55-C3E7-41D9-9B4A-9378B801E978}" uniqueName="2" name="Program" queryTableFieldId="2" dataDxfId="58" totalsRowDxfId="57"/>
    <tableColumn id="16" xr3:uid="{AEDF21D8-0EAD-420D-9541-11D2F002D1E3}" uniqueName="16" name="Funding Round" queryTableFieldId="32" dataDxfId="56" totalsRowDxfId="55" dataCellStyle="Normal 2">
      <calculatedColumnFormula>IF(HAF[[#This Row],[Program]]="Housing Accelerator Fund", "Round One", "Round Two")</calculatedColumnFormula>
    </tableColumn>
    <tableColumn id="3" xr3:uid="{D66C7F2B-85D0-4799-8F2D-7E22A7E1A7CC}" uniqueName="3" name="Client Program Name" totalsRowFunction="count" queryTableFieldId="3" dataDxfId="54" totalsRowDxfId="53"/>
    <tableColumn id="6" xr3:uid="{3DB4A435-7501-44E1-9326-BBCA780CC109}" uniqueName="6" name="Province" queryTableFieldId="18" totalsRowDxfId="52"/>
    <tableColumn id="7" xr3:uid="{1FA58495-2E75-4253-BAC4-BD44EF8EF9A9}" uniqueName="7" name="Application Stream" queryTableFieldId="7" dataDxfId="51" totalsRowDxfId="50"/>
    <tableColumn id="5" xr3:uid="{86B087A4-D540-47E3-A477-0031CFD4FCB6}" uniqueName="5" name="Proponent Type" queryTableFieldId="5" dataDxfId="49" totalsRowDxfId="48"/>
    <tableColumn id="9" xr3:uid="{2704F8C0-ADE0-4DF7-B9B7-5CC6A6A8C9B6}" uniqueName="9" name="Effective Agreement Date" queryTableFieldId="9" dataDxfId="47" totalsRowDxfId="46"/>
    <tableColumn id="8" xr3:uid="{87EE3554-C565-432D-B091-EBBE53D9311C}" uniqueName="8" name="Funding Recipient" queryTableFieldId="30" dataDxfId="45" totalsRowDxfId="44" dataCellStyle="Normal 2">
      <calculatedColumnFormula>MID(HAF[[#This Row],[Client Program Name]], SEARCH( "-",HAF[[#This Row],[Client Program Name]])+1,LEN(HAF[[#This Row],[Client Program Name]])-(SEARCH( "-",HAF[[#This Row],[Client Program Name]])-1))</calculatedColumnFormula>
    </tableColumn>
    <tableColumn id="15" xr3:uid="{594FFDD8-959B-4B31-8041-B036D66B07CE}" uniqueName="15" name="Current Funding" totalsRowFunction="sum" queryTableFieldId="15" dataDxfId="43" totalsRowDxfId="42" dataCellStyle="Comma"/>
    <tableColumn id="1" xr3:uid="{1546A531-0BFF-4DDF-8568-3A5D2B449B16}" uniqueName="1" name="Round One Funding" totalsRowFunction="sum" queryTableFieldId="24" dataDxfId="41" totalsRowDxfId="40" dataCellStyle="Comma 2">
      <calculatedColumnFormula>IF(ISNUMBER(MATCH(HAF[[#This Row],[Client Program Name]],Table6[Client Program],0)), VLOOKUP(HAF[[#This Row],[Client Program Name]],Table6[], 6, FALSE), 0 )</calculatedColumnFormula>
    </tableColumn>
    <tableColumn id="11" xr3:uid="{572AB497-54A9-45C8-A5DE-90879AEBADC8}" uniqueName="11" name="Baseline 3-Year Supply" totalsRowFunction="sum" queryTableFieldId="28" dataDxfId="39" totalsRowDxfId="38" dataCellStyle="Comma 2">
      <calculatedColumnFormula>IF(ISNUMBER(MATCH(HAF[[#This Row],[Client Program Name]],Table6[Client Program],0)), VLOOKUP(HAF[[#This Row],[Client Program Name]],Table6[], 7, FALSE), VLOOKUP(HAF[[#This Row],[Client Program Name]],Table2[], 7, FALSE) )</calculatedColumnFormula>
    </tableColumn>
    <tableColumn id="13" xr3:uid="{B40911AA-5588-4CA5-B69A-373592781A92}" uniqueName="13" name="Current 3-Year Target for Incremental Supply" totalsRowFunction="sum" queryTableFieldId="13" dataDxfId="37" totalsRowDxfId="36" dataCellStyle="Comma"/>
    <tableColumn id="4" xr3:uid="{5DA83646-03A8-48DD-8D47-2BCED0C9908E}" uniqueName="4" name="Round One 3-Year Target for Incremental Supply" totalsRowFunction="sum" queryTableFieldId="25" dataDxfId="35" totalsRowDxfId="34" dataCellStyle="Comma 2">
      <calculatedColumnFormula>IF(ISNUMBER(MATCH(HAF[[#This Row],[Client Program Name]],Table6[Client Program],0)), VLOOKUP(HAF[[#This Row],[Client Program Name]],Table6[], 9, FALSE), 0 )</calculatedColumnFormula>
    </tableColumn>
    <tableColumn id="12" xr3:uid="{1B724699-2887-4111-BA38-B21068F78013}" uniqueName="12" name="Current 3-Year Target for Total Supply" totalsRowFunction="sum" queryTableFieldId="29" dataDxfId="33" totalsRowDxfId="32" dataCellStyle="Comma 2">
      <calculatedColumnFormula>IF(ISNUMBER(MATCH(HAF[[#This Row],[Client Program Name]],Table6[Client Program],0)), VLOOKUP(HAF[[#This Row],[Client Program Name]],Table6[], 10, FALSE), VLOOKUP(HAF[[#This Row],[Client Program Name]],Table2[], 8, FALSE) )</calculatedColumnFormula>
    </tableColumn>
    <tableColumn id="14" xr3:uid="{8402BED4-EA9B-4EDD-9141-5384370CA849}" uniqueName="14" name="Current 10-Year Target for Incremental Supply" totalsRowFunction="custom" queryTableFieldId="14" dataDxfId="31" totalsRowDxfId="30" dataCellStyle="Comma">
      <totalsRowFormula>SUBTOTAL(109,HAF[Round One Funding])</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8AA4825-A3A3-47C7-9E40-49B9428C3302}" name="Table6" displayName="Table6" ref="A1:M180" totalsRowCount="1" headerRowDxfId="29">
  <autoFilter ref="A1:M179" xr:uid="{C8AA4825-A3A3-47C7-9E40-49B9428C3302}"/>
  <sortState xmlns:xlrd2="http://schemas.microsoft.com/office/spreadsheetml/2017/richdata2" ref="A2:J179">
    <sortCondition ref="B1:B179"/>
  </sortState>
  <tableColumns count="13">
    <tableColumn id="1" xr3:uid="{D287D431-7BFC-4E93-B6FC-5D52A0D05519}" name="Client Program"/>
    <tableColumn id="2" xr3:uid="{68A75263-0D51-4623-ADC3-911FCCC42419}" name="Province/Territory "/>
    <tableColumn id="3" xr3:uid="{D379E9D9-F8A7-4EBC-ABB0-F40896FB6725}" name="Application Stream "/>
    <tableColumn id="4" xr3:uid="{CBA6EA1E-C3B9-4CE5-AB7B-C96DBD13421A}" name="Proponent Type"/>
    <tableColumn id="5" xr3:uid="{593B591D-9705-4AFF-9A32-FD8D67F85C9F}" name="Effective Agreement Date" dataDxfId="28" totalsRowDxfId="27"/>
    <tableColumn id="6" xr3:uid="{63A0AF2E-8D44-4DCE-B6D4-D707A666F5BF}" name="Total Funding" totalsRowDxfId="26" dataCellStyle="Comma"/>
    <tableColumn id="9" xr3:uid="{DB80A512-8186-4FD2-86E9-BC9731FEB83B}" name="# units Projected Without Program" totalsRowFunction="sum" dataDxfId="25" totalsRowDxfId="24" dataCellStyle="Comma">
      <calculatedColumnFormula>Table6[[#This Row],[ '# units Projected With Program]]-Table6[[#This Row],['# Projected units Incented by Program]]</calculatedColumnFormula>
    </tableColumn>
    <tableColumn id="12" xr3:uid="{57989DE1-5F95-47AC-BDC3-7F819DB4F0EB}" name=" # units Projected With Program" totalsRowFunction="sum" dataDxfId="23" totalsRowDxfId="22" dataCellStyle="Comma">
      <calculatedColumnFormula>Table6[[#This Row],[ '# units Projected With Program (as of March 31 2025)]]-Table6[[#This Row],[Increase in projected units ]]</calculatedColumnFormula>
    </tableColumn>
    <tableColumn id="10" xr3:uid="{4FEE4E4C-F858-4487-830C-514F803B4083}" name="# Projected units Incented by Program" totalsRowFunction="sum" dataDxfId="21" totalsRowDxfId="20" dataCellStyle="Comma"/>
    <tableColumn id="8" xr3:uid="{A6C33376-5FCB-4A65-A62D-903E657BE944}" name=" # units Projected With Program (as of March 31 2025)" totalsRowFunction="sum" dataDxfId="19" totalsRowDxfId="18" dataCellStyle="Comma"/>
    <tableColumn id="14" xr3:uid="{F96F6A51-B394-441D-8F2C-92270140F680}" name=" # units Projected Incented by Program (as of March 31 2025)" totalsRowFunction="sum" dataDxfId="17" totalsRowDxfId="16" dataCellStyle="Comma">
      <calculatedColumnFormula>Table6[[#This Row],[ '# units Projected With Program (as of March 31 2025)]]-Table6[[#This Row],['# units Projected Without Program]]</calculatedColumnFormula>
    </tableColumn>
    <tableColumn id="11" xr3:uid="{FB95354E-4E2F-4F76-8B49-A912B6F30A0C}" name="Increase in projected units " totalsRowFunction="sum" dataDxfId="15" totalsRowDxfId="14" dataCellStyle="Comma"/>
    <tableColumn id="16" xr3:uid="{F0AABC63-B3A9-4C9F-A136-840457E9E300}" name="Total Funding (as of March 31)" totalsRowFunction="sum" dataDxfId="13" totalsRowDxfId="12"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704EA1-B26A-48BE-95D4-B9BFEB309ED2}" name="Table2" displayName="Table2" ref="A1:I65" totalsRowCount="1" headerRowDxfId="11" headerRowBorderDxfId="10" tableBorderDxfId="9" headerRowCellStyle="Comma">
  <autoFilter ref="A1:I64" xr:uid="{71704EA1-B26A-48BE-95D4-B9BFEB309ED2}"/>
  <sortState xmlns:xlrd2="http://schemas.microsoft.com/office/spreadsheetml/2017/richdata2" ref="A2:I64">
    <sortCondition ref="A1:A64"/>
  </sortState>
  <tableColumns count="9">
    <tableColumn id="1" xr3:uid="{15091F7D-2DA8-4F79-82B2-917C4838120D}" name="Client Program" totalsRowLabel="Total"/>
    <tableColumn id="2" xr3:uid="{DE93DB0F-1EBF-46E5-81C8-3CB05B7C88F9}" name="Province/Territory "/>
    <tableColumn id="3" xr3:uid="{D0DD96BA-0343-45CB-9232-9C4162A5F095}" name="Application Stream "/>
    <tableColumn id="4" xr3:uid="{AD033354-17D4-41E1-96D0-7CE588C21894}" name="Proponent Type"/>
    <tableColumn id="5" xr3:uid="{8F651E27-E59B-43C1-81E6-1188FD6E37B3}" name="Effective Agreement Date" dataDxfId="8"/>
    <tableColumn id="6" xr3:uid="{849F5B1A-C716-4971-B05C-5F80730B1460}" name="Total Funding" totalsRowFunction="sum" dataDxfId="7" totalsRowDxfId="6" dataCellStyle="Comma"/>
    <tableColumn id="7" xr3:uid="{2268BA17-2807-4DCB-8E5A-A685E3C64762}" name="# units Projected Without Program" totalsRowFunction="sum" dataDxfId="5" totalsRowDxfId="4" dataCellStyle="Comma"/>
    <tableColumn id="8" xr3:uid="{6D1EBDA7-231E-4D5C-8F4C-150B118A3212}" name=" # units Projected With Program" totalsRowFunction="sum" dataDxfId="3" totalsRowDxfId="2" dataCellStyle="Comma"/>
    <tableColumn id="9" xr3:uid="{92974E14-FC33-4D15-86A5-F5D0A50BBA84}" name="# Projected units Incented by Program" totalsRowFunction="sum" dataDxfId="1" totalsRow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B889-03A6-4FED-8F3C-D576200DF142}">
  <dimension ref="A1:B25"/>
  <sheetViews>
    <sheetView workbookViewId="0">
      <selection activeCell="A19" sqref="A19:B25"/>
    </sheetView>
  </sheetViews>
  <sheetFormatPr defaultRowHeight="14.5" x14ac:dyDescent="0.35"/>
  <cols>
    <col min="1" max="1" width="49.08984375" bestFit="1" customWidth="1"/>
    <col min="2" max="2" width="15.08984375" bestFit="1" customWidth="1"/>
    <col min="3" max="3" width="20.453125" bestFit="1" customWidth="1"/>
    <col min="4" max="4" width="43.81640625" bestFit="1" customWidth="1"/>
    <col min="5" max="5" width="44.08984375" bestFit="1" customWidth="1"/>
    <col min="6" max="6" width="38.1796875" bestFit="1" customWidth="1"/>
    <col min="7" max="7" width="44.81640625" bestFit="1" customWidth="1"/>
  </cols>
  <sheetData>
    <row r="1" spans="1:2" ht="20" thickBot="1" x14ac:dyDescent="0.5">
      <c r="A1" s="35" t="s">
        <v>324</v>
      </c>
    </row>
    <row r="2" spans="1:2" ht="15" thickTop="1" x14ac:dyDescent="0.35">
      <c r="A2" s="30" t="s">
        <v>325</v>
      </c>
      <c r="B2" t="s" vm="5">
        <v>318</v>
      </c>
    </row>
    <row r="3" spans="1:2" x14ac:dyDescent="0.35">
      <c r="A3" s="30" t="s">
        <v>218</v>
      </c>
      <c r="B3" t="s" vm="1">
        <v>318</v>
      </c>
    </row>
    <row r="4" spans="1:2" x14ac:dyDescent="0.35">
      <c r="A4" s="30" t="s">
        <v>321</v>
      </c>
      <c r="B4" t="s" vm="4">
        <v>318</v>
      </c>
    </row>
    <row r="5" spans="1:2" x14ac:dyDescent="0.35">
      <c r="A5" s="30" t="s">
        <v>247</v>
      </c>
      <c r="B5" t="s" vm="2">
        <v>318</v>
      </c>
    </row>
    <row r="6" spans="1:2" x14ac:dyDescent="0.35">
      <c r="A6" s="30" t="s">
        <v>3</v>
      </c>
      <c r="B6" t="s" vm="3">
        <v>318</v>
      </c>
    </row>
    <row r="8" spans="1:2" x14ac:dyDescent="0.35">
      <c r="A8" s="30" t="s">
        <v>320</v>
      </c>
    </row>
    <row r="9" spans="1:2" x14ac:dyDescent="0.35">
      <c r="A9" s="33" t="s">
        <v>326</v>
      </c>
      <c r="B9" s="28">
        <v>240</v>
      </c>
    </row>
    <row r="10" spans="1:2" x14ac:dyDescent="0.35">
      <c r="A10" s="33" t="s">
        <v>317</v>
      </c>
      <c r="B10" s="36">
        <v>4370757870.9900017</v>
      </c>
    </row>
    <row r="11" spans="1:2" x14ac:dyDescent="0.35">
      <c r="A11" s="33" t="s">
        <v>328</v>
      </c>
      <c r="B11" s="36">
        <v>3897270152</v>
      </c>
    </row>
    <row r="12" spans="1:2" x14ac:dyDescent="0.35">
      <c r="A12" s="33" t="s">
        <v>323</v>
      </c>
      <c r="B12" s="29">
        <v>404474</v>
      </c>
    </row>
    <row r="13" spans="1:2" x14ac:dyDescent="0.35">
      <c r="A13" s="33" t="s">
        <v>332</v>
      </c>
      <c r="B13" s="29">
        <v>119685</v>
      </c>
    </row>
    <row r="14" spans="1:2" x14ac:dyDescent="0.35">
      <c r="A14" s="33" t="s">
        <v>333</v>
      </c>
      <c r="B14" s="29">
        <v>105862</v>
      </c>
    </row>
    <row r="15" spans="1:2" x14ac:dyDescent="0.35">
      <c r="A15" s="33" t="s">
        <v>319</v>
      </c>
      <c r="B15" s="29">
        <v>524159</v>
      </c>
    </row>
    <row r="16" spans="1:2" x14ac:dyDescent="0.35">
      <c r="A16" s="33" t="s">
        <v>334</v>
      </c>
      <c r="B16" s="29">
        <v>833126</v>
      </c>
    </row>
    <row r="19" spans="1:2" x14ac:dyDescent="0.35">
      <c r="A19" s="37" t="s">
        <v>335</v>
      </c>
      <c r="B19" s="38"/>
    </row>
    <row r="20" spans="1:2" x14ac:dyDescent="0.35">
      <c r="A20" s="38"/>
      <c r="B20" s="38"/>
    </row>
    <row r="21" spans="1:2" x14ac:dyDescent="0.35">
      <c r="A21" s="38"/>
      <c r="B21" s="38"/>
    </row>
    <row r="22" spans="1:2" x14ac:dyDescent="0.35">
      <c r="A22" s="38"/>
      <c r="B22" s="38"/>
    </row>
    <row r="23" spans="1:2" x14ac:dyDescent="0.35">
      <c r="A23" s="38"/>
      <c r="B23" s="38"/>
    </row>
    <row r="24" spans="1:2" x14ac:dyDescent="0.35">
      <c r="A24" s="38"/>
      <c r="B24" s="38"/>
    </row>
    <row r="25" spans="1:2" x14ac:dyDescent="0.35">
      <c r="A25" s="38"/>
      <c r="B25" s="38"/>
    </row>
  </sheetData>
  <mergeCells count="1">
    <mergeCell ref="A19: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0EE35-FFBE-4325-B944-4E8911D8DD39}">
  <sheetPr>
    <tabColor theme="3" tint="0.499984740745262"/>
  </sheetPr>
  <dimension ref="A1:Q250"/>
  <sheetViews>
    <sheetView zoomScale="85" zoomScaleNormal="85" workbookViewId="0">
      <pane xSplit="3" ySplit="1" topLeftCell="D2" activePane="bottomRight" state="frozen"/>
      <selection pane="topRight" activeCell="G313" sqref="G313"/>
      <selection pane="bottomLeft" activeCell="G313" sqref="G313"/>
      <selection pane="bottomRight" activeCell="C241" sqref="C241"/>
    </sheetView>
  </sheetViews>
  <sheetFormatPr defaultColWidth="8.81640625" defaultRowHeight="14.5" x14ac:dyDescent="0.35"/>
  <cols>
    <col min="1" max="2" width="36" style="14" customWidth="1"/>
    <col min="3" max="3" width="41.81640625" style="14" customWidth="1"/>
    <col min="4" max="4" width="23.54296875" style="14" bestFit="1" customWidth="1"/>
    <col min="5" max="5" width="26" style="14" bestFit="1" customWidth="1"/>
    <col min="6" max="6" width="26.81640625" style="14" bestFit="1" customWidth="1"/>
    <col min="7" max="8" width="18.1796875" style="14" customWidth="1"/>
    <col min="9" max="11" width="20.1796875" style="16" customWidth="1"/>
    <col min="12" max="14" width="20" style="14" customWidth="1"/>
    <col min="15" max="16" width="16.1796875" style="15" customWidth="1"/>
    <col min="17" max="17" width="15.81640625" style="18" bestFit="1" customWidth="1"/>
    <col min="18" max="18" width="12.81640625" style="14" customWidth="1"/>
    <col min="19" max="19" width="34.81640625" style="14" customWidth="1"/>
    <col min="20" max="21" width="13.453125" style="14" bestFit="1" customWidth="1"/>
    <col min="22" max="16384" width="8.81640625" style="14"/>
  </cols>
  <sheetData>
    <row r="1" spans="1:17" ht="58" x14ac:dyDescent="0.35">
      <c r="A1" s="20" t="s">
        <v>245</v>
      </c>
      <c r="B1" s="20" t="s">
        <v>321</v>
      </c>
      <c r="C1" s="20" t="s">
        <v>246</v>
      </c>
      <c r="D1" s="20" t="s">
        <v>218</v>
      </c>
      <c r="E1" s="20" t="s">
        <v>247</v>
      </c>
      <c r="F1" s="20" t="s">
        <v>3</v>
      </c>
      <c r="G1" s="21" t="s">
        <v>4</v>
      </c>
      <c r="H1" s="21" t="s">
        <v>325</v>
      </c>
      <c r="I1" s="22" t="s">
        <v>315</v>
      </c>
      <c r="J1" s="22" t="s">
        <v>327</v>
      </c>
      <c r="K1" s="22" t="s">
        <v>322</v>
      </c>
      <c r="L1" s="22" t="s">
        <v>330</v>
      </c>
      <c r="M1" s="22" t="s">
        <v>329</v>
      </c>
      <c r="N1" s="22" t="s">
        <v>316</v>
      </c>
      <c r="O1" s="22" t="s">
        <v>331</v>
      </c>
      <c r="P1" s="32"/>
      <c r="Q1" s="14"/>
    </row>
    <row r="2" spans="1:17" x14ac:dyDescent="0.35">
      <c r="A2" s="14" t="s">
        <v>248</v>
      </c>
      <c r="B2" s="14" t="str">
        <f>IF(HAF[[#This Row],[Program]]="Housing Accelerator Fund", "Round One", "Round Two")</f>
        <v>Round One</v>
      </c>
      <c r="C2" s="14" t="s">
        <v>20</v>
      </c>
      <c r="D2" s="14" t="s">
        <v>9</v>
      </c>
      <c r="E2" s="14" t="s">
        <v>10</v>
      </c>
      <c r="F2" s="14" t="s">
        <v>11</v>
      </c>
      <c r="G2" s="15">
        <v>45337</v>
      </c>
      <c r="H2" s="15" t="str">
        <f>MID(HAF[[#This Row],[Client Program Name]], SEARCH( "-",HAF[[#This Row],[Client Program Name]])+1,LEN(HAF[[#This Row],[Client Program Name]])-(SEARCH( "-",HAF[[#This Row],[Client Program Name]])-1))</f>
        <v xml:space="preserve"> Stony Plain</v>
      </c>
      <c r="I2" s="16">
        <v>5186466.8</v>
      </c>
      <c r="J2" s="16">
        <f>IF(ISNUMBER(MATCH(HAF[[#This Row],[Client Program Name]],Table6[Client Program],0)), VLOOKUP(HAF[[#This Row],[Client Program Name]],Table6[], 6, FALSE), 0 )</f>
        <v>5186467</v>
      </c>
      <c r="K2" s="16">
        <f>IF(ISNUMBER(MATCH(HAF[[#This Row],[Client Program Name]],Table6[Client Program],0)), VLOOKUP(HAF[[#This Row],[Client Program Name]],Table6[], 7, FALSE), VLOOKUP(HAF[[#This Row],[Client Program Name]],Table2[], 7, FALSE) )</f>
        <v>411</v>
      </c>
      <c r="L2" s="16">
        <v>161</v>
      </c>
      <c r="M2" s="16">
        <f>IF(ISNUMBER(MATCH(HAF[[#This Row],[Client Program Name]],Table6[Client Program],0)), VLOOKUP(HAF[[#This Row],[Client Program Name]],Table6[], 9, FALSE), 0 )</f>
        <v>161</v>
      </c>
      <c r="N2" s="16">
        <f>IF(ISNUMBER(MATCH(HAF[[#This Row],[Client Program Name]],Table6[Client Program],0)), VLOOKUP(HAF[[#This Row],[Client Program Name]],Table6[], 10, FALSE), VLOOKUP(HAF[[#This Row],[Client Program Name]],Table2[], 8, FALSE) )</f>
        <v>572</v>
      </c>
      <c r="O2" s="16">
        <v>1394</v>
      </c>
      <c r="P2" s="3"/>
      <c r="Q2" s="14"/>
    </row>
    <row r="3" spans="1:17" x14ac:dyDescent="0.35">
      <c r="A3" s="14" t="s">
        <v>248</v>
      </c>
      <c r="B3" s="14" t="str">
        <f>IF(HAF[[#This Row],[Program]]="Housing Accelerator Fund", "Round One", "Round Two")</f>
        <v>Round One</v>
      </c>
      <c r="C3" s="14" t="s">
        <v>13</v>
      </c>
      <c r="D3" s="14" t="s">
        <v>9</v>
      </c>
      <c r="E3" s="14" t="s">
        <v>10</v>
      </c>
      <c r="F3" s="14" t="s">
        <v>11</v>
      </c>
      <c r="G3" s="15">
        <v>45337</v>
      </c>
      <c r="H3" s="15" t="str">
        <f>MID(HAF[[#This Row],[Client Program Name]], SEARCH( "-",HAF[[#This Row],[Client Program Name]])+1,LEN(HAF[[#This Row],[Client Program Name]])-(SEARCH( "-",HAF[[#This Row],[Client Program Name]])-1))</f>
        <v xml:space="preserve"> City of Airdrie</v>
      </c>
      <c r="I3" s="16">
        <v>24839000</v>
      </c>
      <c r="J3" s="16">
        <f>IF(ISNUMBER(MATCH(HAF[[#This Row],[Client Program Name]],Table6[Client Program],0)), VLOOKUP(HAF[[#This Row],[Client Program Name]],Table6[], 6, FALSE), 0 )</f>
        <v>24839000</v>
      </c>
      <c r="K3" s="16">
        <f>IF(ISNUMBER(MATCH(HAF[[#This Row],[Client Program Name]],Table6[Client Program],0)), VLOOKUP(HAF[[#This Row],[Client Program Name]],Table6[], 7, FALSE), VLOOKUP(HAF[[#This Row],[Client Program Name]],Table2[], 7, FALSE) )</f>
        <v>2726</v>
      </c>
      <c r="L3" s="16">
        <v>909</v>
      </c>
      <c r="M3" s="16">
        <f>IF(ISNUMBER(MATCH(HAF[[#This Row],[Client Program Name]],Table6[Client Program],0)), VLOOKUP(HAF[[#This Row],[Client Program Name]],Table6[], 9, FALSE), 0 )</f>
        <v>909</v>
      </c>
      <c r="N3" s="16">
        <f>IF(ISNUMBER(MATCH(HAF[[#This Row],[Client Program Name]],Table6[Client Program],0)), VLOOKUP(HAF[[#This Row],[Client Program Name]],Table6[], 10, FALSE), VLOOKUP(HAF[[#This Row],[Client Program Name]],Table2[], 8, FALSE) )</f>
        <v>3635</v>
      </c>
      <c r="O3" s="16">
        <v>3534</v>
      </c>
      <c r="P3" s="3"/>
      <c r="Q3" s="14"/>
    </row>
    <row r="4" spans="1:17" x14ac:dyDescent="0.35">
      <c r="A4" s="14" t="s">
        <v>248</v>
      </c>
      <c r="B4" s="14" t="str">
        <f>IF(HAF[[#This Row],[Program]]="Housing Accelerator Fund", "Round One", "Round Two")</f>
        <v>Round One</v>
      </c>
      <c r="C4" s="14" t="s">
        <v>21</v>
      </c>
      <c r="D4" s="14" t="s">
        <v>9</v>
      </c>
      <c r="E4" s="14" t="s">
        <v>10</v>
      </c>
      <c r="F4" s="14" t="s">
        <v>11</v>
      </c>
      <c r="G4" s="15">
        <v>45321</v>
      </c>
      <c r="H4" s="15" t="str">
        <f>MID(HAF[[#This Row],[Client Program Name]], SEARCH( "-",HAF[[#This Row],[Client Program Name]])+1,LEN(HAF[[#This Row],[Client Program Name]])-(SEARCH( "-",HAF[[#This Row],[Client Program Name]])-1))</f>
        <v xml:space="preserve"> Sylvan Lake</v>
      </c>
      <c r="I4" s="16">
        <v>6025430</v>
      </c>
      <c r="J4" s="16">
        <f>IF(ISNUMBER(MATCH(HAF[[#This Row],[Client Program Name]],Table6[Client Program],0)), VLOOKUP(HAF[[#This Row],[Client Program Name]],Table6[], 6, FALSE), 0 )</f>
        <v>5485430</v>
      </c>
      <c r="K4" s="16">
        <f>IF(ISNUMBER(MATCH(HAF[[#This Row],[Client Program Name]],Table6[Client Program],0)), VLOOKUP(HAF[[#This Row],[Client Program Name]],Table6[], 7, FALSE), VLOOKUP(HAF[[#This Row],[Client Program Name]],Table2[], 7, FALSE) )</f>
        <v>387</v>
      </c>
      <c r="L4" s="16">
        <v>188</v>
      </c>
      <c r="M4" s="16">
        <f>IF(ISNUMBER(MATCH(HAF[[#This Row],[Client Program Name]],Table6[Client Program],0)), VLOOKUP(HAF[[#This Row],[Client Program Name]],Table6[], 9, FALSE), 0 )</f>
        <v>168</v>
      </c>
      <c r="N4" s="16">
        <f>IF(ISNUMBER(MATCH(HAF[[#This Row],[Client Program Name]],Table6[Client Program],0)), VLOOKUP(HAF[[#This Row],[Client Program Name]],Table6[], 10, FALSE), VLOOKUP(HAF[[#This Row],[Client Program Name]],Table2[], 8, FALSE) )</f>
        <v>575</v>
      </c>
      <c r="O4" s="16">
        <v>942</v>
      </c>
      <c r="P4" s="3"/>
      <c r="Q4" s="14"/>
    </row>
    <row r="5" spans="1:17" x14ac:dyDescent="0.35">
      <c r="A5" s="14" t="s">
        <v>248</v>
      </c>
      <c r="B5" s="14" t="str">
        <f>IF(HAF[[#This Row],[Program]]="Housing Accelerator Fund", "Round One", "Round Two")</f>
        <v>Round One</v>
      </c>
      <c r="C5" s="14" t="s">
        <v>15</v>
      </c>
      <c r="D5" s="14" t="s">
        <v>9</v>
      </c>
      <c r="E5" s="14" t="s">
        <v>10</v>
      </c>
      <c r="F5" s="14" t="s">
        <v>11</v>
      </c>
      <c r="G5" s="15">
        <v>45239</v>
      </c>
      <c r="H5" s="15" t="str">
        <f>MID(HAF[[#This Row],[Client Program Name]], SEARCH( "-",HAF[[#This Row],[Client Program Name]])+1,LEN(HAF[[#This Row],[Client Program Name]])-(SEARCH( "-",HAF[[#This Row],[Client Program Name]])-1))</f>
        <v xml:space="preserve"> Edmonton</v>
      </c>
      <c r="I5" s="16">
        <v>192656181</v>
      </c>
      <c r="J5" s="16">
        <f>IF(ISNUMBER(MATCH(HAF[[#This Row],[Client Program Name]],Table6[Client Program],0)), VLOOKUP(HAF[[#This Row],[Client Program Name]],Table6[], 6, FALSE), 0 )</f>
        <v>175172181</v>
      </c>
      <c r="K5" s="16">
        <f>IF(ISNUMBER(MATCH(HAF[[#This Row],[Client Program Name]],Table6[Client Program],0)), VLOOKUP(HAF[[#This Row],[Client Program Name]],Table6[], 7, FALSE), VLOOKUP(HAF[[#This Row],[Client Program Name]],Table2[], 7, FALSE) )</f>
        <v>30197</v>
      </c>
      <c r="L5" s="16">
        <v>5737</v>
      </c>
      <c r="M5" s="16">
        <f>IF(ISNUMBER(MATCH(HAF[[#This Row],[Client Program Name]],Table6[Client Program],0)), VLOOKUP(HAF[[#This Row],[Client Program Name]],Table6[], 9, FALSE), 0 )</f>
        <v>5236</v>
      </c>
      <c r="N5" s="16">
        <f>IF(ISNUMBER(MATCH(HAF[[#This Row],[Client Program Name]],Table6[Client Program],0)), VLOOKUP(HAF[[#This Row],[Client Program Name]],Table6[], 10, FALSE), VLOOKUP(HAF[[#This Row],[Client Program Name]],Table2[], 8, FALSE) )</f>
        <v>35934</v>
      </c>
      <c r="O5" s="16">
        <v>24800</v>
      </c>
      <c r="P5" s="3"/>
      <c r="Q5" s="14"/>
    </row>
    <row r="6" spans="1:17" x14ac:dyDescent="0.35">
      <c r="A6" s="14" t="s">
        <v>248</v>
      </c>
      <c r="B6" s="14" t="str">
        <f>IF(HAF[[#This Row],[Program]]="Housing Accelerator Fund", "Round One", "Round Two")</f>
        <v>Round One</v>
      </c>
      <c r="C6" s="14" t="s">
        <v>8</v>
      </c>
      <c r="D6" s="14" t="s">
        <v>9</v>
      </c>
      <c r="E6" s="14" t="s">
        <v>10</v>
      </c>
      <c r="F6" s="14" t="s">
        <v>11</v>
      </c>
      <c r="G6" s="15">
        <v>45226</v>
      </c>
      <c r="H6" s="15" t="str">
        <f>MID(HAF[[#This Row],[Client Program Name]], SEARCH( "-",HAF[[#This Row],[Client Program Name]])+1,LEN(HAF[[#This Row],[Client Program Name]])-(SEARCH( "-",HAF[[#This Row],[Client Program Name]])-1))</f>
        <v xml:space="preserve"> Calgary</v>
      </c>
      <c r="I6" s="16">
        <v>251309276</v>
      </c>
      <c r="J6" s="16">
        <f>IF(ISNUMBER(MATCH(HAF[[#This Row],[Client Program Name]],Table6[Client Program],0)), VLOOKUP(HAF[[#This Row],[Client Program Name]],Table6[], 6, FALSE), 0 )</f>
        <v>228466276</v>
      </c>
      <c r="K6" s="16">
        <f>IF(ISNUMBER(MATCH(HAF[[#This Row],[Client Program Name]],Table6[Client Program],0)), VLOOKUP(HAF[[#This Row],[Client Program Name]],Table6[], 7, FALSE), VLOOKUP(HAF[[#This Row],[Client Program Name]],Table2[], 7, FALSE) )</f>
        <v>35033</v>
      </c>
      <c r="L6" s="16">
        <v>7634</v>
      </c>
      <c r="M6" s="16">
        <f>IF(ISNUMBER(MATCH(HAF[[#This Row],[Client Program Name]],Table6[Client Program],0)), VLOOKUP(HAF[[#This Row],[Client Program Name]],Table6[], 9, FALSE), 0 )</f>
        <v>6825</v>
      </c>
      <c r="N6" s="16">
        <f>IF(ISNUMBER(MATCH(HAF[[#This Row],[Client Program Name]],Table6[Client Program],0)), VLOOKUP(HAF[[#This Row],[Client Program Name]],Table6[], 10, FALSE), VLOOKUP(HAF[[#This Row],[Client Program Name]],Table2[], 8, FALSE) )</f>
        <v>42667</v>
      </c>
      <c r="O6" s="16">
        <v>38250</v>
      </c>
      <c r="P6" s="3"/>
      <c r="Q6" s="14"/>
    </row>
    <row r="7" spans="1:17" x14ac:dyDescent="0.35">
      <c r="A7" s="14" t="s">
        <v>248</v>
      </c>
      <c r="B7" s="14" t="str">
        <f>IF(HAF[[#This Row],[Program]]="Housing Accelerator Fund", "Round One", "Round Two")</f>
        <v>Round One</v>
      </c>
      <c r="C7" s="14" t="s">
        <v>28</v>
      </c>
      <c r="D7" s="14" t="s">
        <v>9</v>
      </c>
      <c r="E7" s="14" t="s">
        <v>17</v>
      </c>
      <c r="F7" s="14" t="s">
        <v>11</v>
      </c>
      <c r="G7" s="15">
        <v>45296</v>
      </c>
      <c r="H7" s="15" t="str">
        <f>MID(HAF[[#This Row],[Client Program Name]], SEARCH( "-",HAF[[#This Row],[Client Program Name]])+1,LEN(HAF[[#This Row],[Client Program Name]])-(SEARCH( "-",HAF[[#This Row],[Client Program Name]])-1))</f>
        <v xml:space="preserve"> Town of Westlock</v>
      </c>
      <c r="I7" s="16">
        <v>1112000</v>
      </c>
      <c r="J7" s="16">
        <f>IF(ISNUMBER(MATCH(HAF[[#This Row],[Client Program Name]],Table6[Client Program],0)), VLOOKUP(HAF[[#This Row],[Client Program Name]],Table6[], 6, FALSE), 0 )</f>
        <v>1112000</v>
      </c>
      <c r="K7" s="16">
        <f>IF(ISNUMBER(MATCH(HAF[[#This Row],[Client Program Name]],Table6[Client Program],0)), VLOOKUP(HAF[[#This Row],[Client Program Name]],Table6[], 7, FALSE), VLOOKUP(HAF[[#This Row],[Client Program Name]],Table2[], 7, FALSE) )</f>
        <v>9</v>
      </c>
      <c r="L7" s="16">
        <v>40</v>
      </c>
      <c r="M7" s="16">
        <f>IF(ISNUMBER(MATCH(HAF[[#This Row],[Client Program Name]],Table6[Client Program],0)), VLOOKUP(HAF[[#This Row],[Client Program Name]],Table6[], 9, FALSE), 0 )</f>
        <v>40</v>
      </c>
      <c r="N7" s="16">
        <f>IF(ISNUMBER(MATCH(HAF[[#This Row],[Client Program Name]],Table6[Client Program],0)), VLOOKUP(HAF[[#This Row],[Client Program Name]],Table6[], 10, FALSE), VLOOKUP(HAF[[#This Row],[Client Program Name]],Table2[], 8, FALSE) )</f>
        <v>49</v>
      </c>
      <c r="O7" s="16">
        <v>960</v>
      </c>
      <c r="P7" s="3"/>
      <c r="Q7" s="14"/>
    </row>
    <row r="8" spans="1:17" x14ac:dyDescent="0.35">
      <c r="A8" s="14" t="s">
        <v>248</v>
      </c>
      <c r="B8" s="14" t="str">
        <f>IF(HAF[[#This Row],[Program]]="Housing Accelerator Fund", "Round One", "Round Two")</f>
        <v>Round One</v>
      </c>
      <c r="C8" s="14" t="s">
        <v>24</v>
      </c>
      <c r="D8" s="14" t="s">
        <v>9</v>
      </c>
      <c r="E8" s="14" t="s">
        <v>17</v>
      </c>
      <c r="F8" s="14" t="s">
        <v>11</v>
      </c>
      <c r="G8" s="15">
        <v>45314</v>
      </c>
      <c r="H8" s="15" t="str">
        <f>MID(HAF[[#This Row],[Client Program Name]], SEARCH( "-",HAF[[#This Row],[Client Program Name]])+1,LEN(HAF[[#This Row],[Client Program Name]])-(SEARCH( "-",HAF[[#This Row],[Client Program Name]])-1))</f>
        <v xml:space="preserve"> Town of Bow Island</v>
      </c>
      <c r="I8" s="16">
        <v>1728000</v>
      </c>
      <c r="J8" s="16">
        <f>IF(ISNUMBER(MATCH(HAF[[#This Row],[Client Program Name]],Table6[Client Program],0)), VLOOKUP(HAF[[#This Row],[Client Program Name]],Table6[], 6, FALSE), 0 )</f>
        <v>1568000</v>
      </c>
      <c r="K8" s="16">
        <f>IF(ISNUMBER(MATCH(HAF[[#This Row],[Client Program Name]],Table6[Client Program],0)), VLOOKUP(HAF[[#This Row],[Client Program Name]],Table6[], 7, FALSE), VLOOKUP(HAF[[#This Row],[Client Program Name]],Table2[], 7, FALSE) )</f>
        <v>11</v>
      </c>
      <c r="L8" s="16">
        <v>54</v>
      </c>
      <c r="M8" s="16">
        <f>IF(ISNUMBER(MATCH(HAF[[#This Row],[Client Program Name]],Table6[Client Program],0)), VLOOKUP(HAF[[#This Row],[Client Program Name]],Table6[], 9, FALSE), 0 )</f>
        <v>49</v>
      </c>
      <c r="N8" s="16">
        <f>IF(ISNUMBER(MATCH(HAF[[#This Row],[Client Program Name]],Table6[Client Program],0)), VLOOKUP(HAF[[#This Row],[Client Program Name]],Table6[], 10, FALSE), VLOOKUP(HAF[[#This Row],[Client Program Name]],Table2[], 8, FALSE) )</f>
        <v>65</v>
      </c>
      <c r="O8" s="16">
        <v>276</v>
      </c>
      <c r="P8" s="3"/>
      <c r="Q8" s="14"/>
    </row>
    <row r="9" spans="1:17" x14ac:dyDescent="0.35">
      <c r="A9" s="14" t="s">
        <v>248</v>
      </c>
      <c r="B9" s="14" t="str">
        <f>IF(HAF[[#This Row],[Program]]="Housing Accelerator Fund", "Round One", "Round Two")</f>
        <v>Round One</v>
      </c>
      <c r="C9" s="14" t="s">
        <v>29</v>
      </c>
      <c r="D9" s="14" t="s">
        <v>9</v>
      </c>
      <c r="E9" s="14" t="s">
        <v>17</v>
      </c>
      <c r="F9" s="14" t="s">
        <v>11</v>
      </c>
      <c r="G9" s="15">
        <v>45306</v>
      </c>
      <c r="H9" s="15" t="str">
        <f>MID(HAF[[#This Row],[Client Program Name]], SEARCH( "-",HAF[[#This Row],[Client Program Name]])+1,LEN(HAF[[#This Row],[Client Program Name]])-(SEARCH( "-",HAF[[#This Row],[Client Program Name]])-1))</f>
        <v xml:space="preserve"> Village of Duchess</v>
      </c>
      <c r="I9" s="16">
        <v>527990.5</v>
      </c>
      <c r="J9" s="16">
        <f>IF(ISNUMBER(MATCH(HAF[[#This Row],[Client Program Name]],Table6[Client Program],0)), VLOOKUP(HAF[[#This Row],[Client Program Name]],Table6[], 6, FALSE), 0 )</f>
        <v>527991</v>
      </c>
      <c r="K9" s="16">
        <f>IF(ISNUMBER(MATCH(HAF[[#This Row],[Client Program Name]],Table6[Client Program],0)), VLOOKUP(HAF[[#This Row],[Client Program Name]],Table6[], 7, FALSE), VLOOKUP(HAF[[#This Row],[Client Program Name]],Table2[], 7, FALSE) )</f>
        <v>3</v>
      </c>
      <c r="L9" s="16">
        <v>16</v>
      </c>
      <c r="M9" s="16">
        <f>IF(ISNUMBER(MATCH(HAF[[#This Row],[Client Program Name]],Table6[Client Program],0)), VLOOKUP(HAF[[#This Row],[Client Program Name]],Table6[], 9, FALSE), 0 )</f>
        <v>16</v>
      </c>
      <c r="N9" s="16">
        <f>IF(ISNUMBER(MATCH(HAF[[#This Row],[Client Program Name]],Table6[Client Program],0)), VLOOKUP(HAF[[#This Row],[Client Program Name]],Table6[], 10, FALSE), VLOOKUP(HAF[[#This Row],[Client Program Name]],Table2[], 8, FALSE) )</f>
        <v>19</v>
      </c>
      <c r="O9" s="16">
        <v>50</v>
      </c>
      <c r="P9" s="3"/>
      <c r="Q9" s="14"/>
    </row>
    <row r="10" spans="1:17" x14ac:dyDescent="0.35">
      <c r="A10" s="14" t="s">
        <v>248</v>
      </c>
      <c r="B10" s="14" t="str">
        <f>IF(HAF[[#This Row],[Program]]="Housing Accelerator Fund", "Round One", "Round Two")</f>
        <v>Round One</v>
      </c>
      <c r="C10" s="14" t="s">
        <v>23</v>
      </c>
      <c r="D10" s="14" t="s">
        <v>9</v>
      </c>
      <c r="E10" s="14" t="s">
        <v>17</v>
      </c>
      <c r="F10" s="14" t="s">
        <v>11</v>
      </c>
      <c r="G10" s="15">
        <v>45321</v>
      </c>
      <c r="H10" s="15" t="str">
        <f>MID(HAF[[#This Row],[Client Program Name]], SEARCH( "-",HAF[[#This Row],[Client Program Name]])+1,LEN(HAF[[#This Row],[Client Program Name]])-(SEARCH( "-",HAF[[#This Row],[Client Program Name]])-1))</f>
        <v xml:space="preserve"> Town of Banff</v>
      </c>
      <c r="I10" s="16">
        <v>4660800</v>
      </c>
      <c r="J10" s="16">
        <f>IF(ISNUMBER(MATCH(HAF[[#This Row],[Client Program Name]],Table6[Client Program],0)), VLOOKUP(HAF[[#This Row],[Client Program Name]],Table6[], 6, FALSE), 0 )</f>
        <v>4660800</v>
      </c>
      <c r="K10" s="16">
        <f>IF(ISNUMBER(MATCH(HAF[[#This Row],[Client Program Name]],Table6[Client Program],0)), VLOOKUP(HAF[[#This Row],[Client Program Name]],Table6[], 7, FALSE), VLOOKUP(HAF[[#This Row],[Client Program Name]],Table2[], 7, FALSE) )</f>
        <v>120</v>
      </c>
      <c r="L10" s="16">
        <v>120</v>
      </c>
      <c r="M10" s="16">
        <f>IF(ISNUMBER(MATCH(HAF[[#This Row],[Client Program Name]],Table6[Client Program],0)), VLOOKUP(HAF[[#This Row],[Client Program Name]],Table6[], 9, FALSE), 0 )</f>
        <v>120</v>
      </c>
      <c r="N10" s="16">
        <f>IF(ISNUMBER(MATCH(HAF[[#This Row],[Client Program Name]],Table6[Client Program],0)), VLOOKUP(HAF[[#This Row],[Client Program Name]],Table6[], 10, FALSE), VLOOKUP(HAF[[#This Row],[Client Program Name]],Table2[], 8, FALSE) )</f>
        <v>240</v>
      </c>
      <c r="O10" s="16">
        <v>1490</v>
      </c>
      <c r="P10" s="3"/>
      <c r="Q10" s="14"/>
    </row>
    <row r="11" spans="1:17" x14ac:dyDescent="0.35">
      <c r="A11" s="14" t="s">
        <v>248</v>
      </c>
      <c r="B11" s="14" t="str">
        <f>IF(HAF[[#This Row],[Program]]="Housing Accelerator Fund", "Round One", "Round Two")</f>
        <v>Round One</v>
      </c>
      <c r="C11" s="14" t="s">
        <v>26</v>
      </c>
      <c r="D11" s="14" t="s">
        <v>9</v>
      </c>
      <c r="E11" s="14" t="s">
        <v>17</v>
      </c>
      <c r="F11" s="14" t="s">
        <v>11</v>
      </c>
      <c r="G11" s="15">
        <v>45320</v>
      </c>
      <c r="H11" s="15" t="str">
        <f>MID(HAF[[#This Row],[Client Program Name]], SEARCH( "-",HAF[[#This Row],[Client Program Name]])+1,LEN(HAF[[#This Row],[Client Program Name]])-(SEARCH( "-",HAF[[#This Row],[Client Program Name]])-1))</f>
        <v xml:space="preserve"> Town of Smoky Lake</v>
      </c>
      <c r="I11" s="16">
        <v>486001.9</v>
      </c>
      <c r="J11" s="16">
        <f>IF(ISNUMBER(MATCH(HAF[[#This Row],[Client Program Name]],Table6[Client Program],0)), VLOOKUP(HAF[[#This Row],[Client Program Name]],Table6[], 6, FALSE), 0 )</f>
        <v>486002</v>
      </c>
      <c r="K11" s="16">
        <f>IF(ISNUMBER(MATCH(HAF[[#This Row],[Client Program Name]],Table6[Client Program],0)), VLOOKUP(HAF[[#This Row],[Client Program Name]],Table6[], 7, FALSE), VLOOKUP(HAF[[#This Row],[Client Program Name]],Table2[], 7, FALSE) )</f>
        <v>5</v>
      </c>
      <c r="L11" s="16">
        <v>16</v>
      </c>
      <c r="M11" s="16">
        <f>IF(ISNUMBER(MATCH(HAF[[#This Row],[Client Program Name]],Table6[Client Program],0)), VLOOKUP(HAF[[#This Row],[Client Program Name]],Table6[], 9, FALSE), 0 )</f>
        <v>16</v>
      </c>
      <c r="N11" s="16">
        <f>IF(ISNUMBER(MATCH(HAF[[#This Row],[Client Program Name]],Table6[Client Program],0)), VLOOKUP(HAF[[#This Row],[Client Program Name]],Table6[], 10, FALSE), VLOOKUP(HAF[[#This Row],[Client Program Name]],Table2[], 8, FALSE) )</f>
        <v>21</v>
      </c>
      <c r="O11" s="16">
        <v>45</v>
      </c>
      <c r="P11" s="3"/>
      <c r="Q11" s="14"/>
    </row>
    <row r="12" spans="1:17" x14ac:dyDescent="0.35">
      <c r="A12" s="14" t="s">
        <v>248</v>
      </c>
      <c r="B12" s="14" t="str">
        <f>IF(HAF[[#This Row],[Program]]="Housing Accelerator Fund", "Round One", "Round Two")</f>
        <v>Round One</v>
      </c>
      <c r="C12" s="14" t="s">
        <v>19</v>
      </c>
      <c r="D12" s="14" t="s">
        <v>9</v>
      </c>
      <c r="E12" s="14" t="s">
        <v>17</v>
      </c>
      <c r="F12" s="14" t="s">
        <v>18</v>
      </c>
      <c r="G12" s="15">
        <v>45323</v>
      </c>
      <c r="H12" s="15" t="str">
        <f>MID(HAF[[#This Row],[Client Program Name]], SEARCH( "-",HAF[[#This Row],[Client Program Name]])+1,LEN(HAF[[#This Row],[Client Program Name]])-(SEARCH( "-",HAF[[#This Row],[Client Program Name]])-1))</f>
        <v xml:space="preserve"> Piikani Nation</v>
      </c>
      <c r="I12" s="16">
        <v>2301000</v>
      </c>
      <c r="J12" s="16">
        <f>IF(ISNUMBER(MATCH(HAF[[#This Row],[Client Program Name]],Table6[Client Program],0)), VLOOKUP(HAF[[#This Row],[Client Program Name]],Table6[], 6, FALSE), 0 )</f>
        <v>2301000</v>
      </c>
      <c r="K12" s="16">
        <f>IF(ISNUMBER(MATCH(HAF[[#This Row],[Client Program Name]],Table6[Client Program],0)), VLOOKUP(HAF[[#This Row],[Client Program Name]],Table6[], 7, FALSE), VLOOKUP(HAF[[#This Row],[Client Program Name]],Table2[], 7, FALSE) )</f>
        <v>6</v>
      </c>
      <c r="L12" s="16">
        <v>39</v>
      </c>
      <c r="M12" s="16">
        <f>IF(ISNUMBER(MATCH(HAF[[#This Row],[Client Program Name]],Table6[Client Program],0)), VLOOKUP(HAF[[#This Row],[Client Program Name]],Table6[], 9, FALSE), 0 )</f>
        <v>39</v>
      </c>
      <c r="N12" s="16">
        <f>IF(ISNUMBER(MATCH(HAF[[#This Row],[Client Program Name]],Table6[Client Program],0)), VLOOKUP(HAF[[#This Row],[Client Program Name]],Table6[], 10, FALSE), VLOOKUP(HAF[[#This Row],[Client Program Name]],Table2[], 8, FALSE) )</f>
        <v>45</v>
      </c>
      <c r="O12" s="16">
        <v>166</v>
      </c>
      <c r="P12" s="3"/>
      <c r="Q12" s="14"/>
    </row>
    <row r="13" spans="1:17" x14ac:dyDescent="0.35">
      <c r="A13" s="14" t="s">
        <v>248</v>
      </c>
      <c r="B13" s="14" t="str">
        <f>IF(HAF[[#This Row],[Program]]="Housing Accelerator Fund", "Round One", "Round Two")</f>
        <v>Round One</v>
      </c>
      <c r="C13" s="14" t="s">
        <v>16</v>
      </c>
      <c r="D13" s="14" t="s">
        <v>9</v>
      </c>
      <c r="E13" s="14" t="s">
        <v>17</v>
      </c>
      <c r="F13" s="14" t="s">
        <v>18</v>
      </c>
      <c r="G13" s="15">
        <v>45300</v>
      </c>
      <c r="H13" s="15" t="str">
        <f>MID(HAF[[#This Row],[Client Program Name]], SEARCH( "-",HAF[[#This Row],[Client Program Name]])+1,LEN(HAF[[#This Row],[Client Program Name]])-(SEARCH( "-",HAF[[#This Row],[Client Program Name]])-1))</f>
        <v xml:space="preserve"> Elizabeth Metis Settlement</v>
      </c>
      <c r="I13" s="16">
        <v>850975.3</v>
      </c>
      <c r="J13" s="16">
        <f>IF(ISNUMBER(MATCH(HAF[[#This Row],[Client Program Name]],Table6[Client Program],0)), VLOOKUP(HAF[[#This Row],[Client Program Name]],Table6[], 6, FALSE), 0 )</f>
        <v>850975</v>
      </c>
      <c r="K13" s="16">
        <f>IF(ISNUMBER(MATCH(HAF[[#This Row],[Client Program Name]],Table6[Client Program],0)), VLOOKUP(HAF[[#This Row],[Client Program Name]],Table6[], 7, FALSE), VLOOKUP(HAF[[#This Row],[Client Program Name]],Table2[], 7, FALSE) )</f>
        <v>26</v>
      </c>
      <c r="L13" s="16">
        <v>13</v>
      </c>
      <c r="M13" s="16">
        <f>IF(ISNUMBER(MATCH(HAF[[#This Row],[Client Program Name]],Table6[Client Program],0)), VLOOKUP(HAF[[#This Row],[Client Program Name]],Table6[], 9, FALSE), 0 )</f>
        <v>13</v>
      </c>
      <c r="N13" s="16">
        <f>IF(ISNUMBER(MATCH(HAF[[#This Row],[Client Program Name]],Table6[Client Program],0)), VLOOKUP(HAF[[#This Row],[Client Program Name]],Table6[], 10, FALSE), VLOOKUP(HAF[[#This Row],[Client Program Name]],Table2[], 8, FALSE) )</f>
        <v>39</v>
      </c>
      <c r="O13" s="16">
        <v>72</v>
      </c>
      <c r="P13" s="3"/>
      <c r="Q13" s="14"/>
    </row>
    <row r="14" spans="1:17" x14ac:dyDescent="0.35">
      <c r="A14" s="14" t="s">
        <v>249</v>
      </c>
      <c r="B14" s="14" t="str">
        <f>IF(HAF[[#This Row],[Program]]="Housing Accelerator Fund", "Round One", "Round Two")</f>
        <v>Round Two</v>
      </c>
      <c r="C14" s="14" t="s">
        <v>250</v>
      </c>
      <c r="D14" s="14" t="s">
        <v>9</v>
      </c>
      <c r="E14" s="14" t="s">
        <v>10</v>
      </c>
      <c r="F14" s="14" t="s">
        <v>11</v>
      </c>
      <c r="G14" s="15">
        <v>45671</v>
      </c>
      <c r="H14" s="15" t="str">
        <f>MID(HAF[[#This Row],[Client Program Name]], SEARCH( "-",HAF[[#This Row],[Client Program Name]])+1,LEN(HAF[[#This Row],[Client Program Name]])-(SEARCH( "-",HAF[[#This Row],[Client Program Name]])-1))</f>
        <v xml:space="preserve"> City of Leduc</v>
      </c>
      <c r="I14" s="16">
        <v>7652644</v>
      </c>
      <c r="J14" s="16">
        <f>IF(ISNUMBER(MATCH(HAF[[#This Row],[Client Program Name]],Table6[Client Program],0)), VLOOKUP(HAF[[#This Row],[Client Program Name]],Table6[], 6, FALSE), 0 )</f>
        <v>0</v>
      </c>
      <c r="K14" s="16">
        <f>IF(ISNUMBER(MATCH(HAF[[#This Row],[Client Program Name]],Table6[Client Program],0)), VLOOKUP(HAF[[#This Row],[Client Program Name]],Table6[], 7, FALSE), VLOOKUP(HAF[[#This Row],[Client Program Name]],Table2[], 7, FALSE) )</f>
        <v>1086</v>
      </c>
      <c r="L14" s="16">
        <v>244</v>
      </c>
      <c r="M14" s="16">
        <f>IF(ISNUMBER(MATCH(HAF[[#This Row],[Client Program Name]],Table6[Client Program],0)), VLOOKUP(HAF[[#This Row],[Client Program Name]],Table6[], 9, FALSE), 0 )</f>
        <v>0</v>
      </c>
      <c r="N14" s="16">
        <f>IF(ISNUMBER(MATCH(HAF[[#This Row],[Client Program Name]],Table6[Client Program],0)), VLOOKUP(HAF[[#This Row],[Client Program Name]],Table6[], 10, FALSE), VLOOKUP(HAF[[#This Row],[Client Program Name]],Table2[], 8, FALSE) )</f>
        <v>1330</v>
      </c>
      <c r="O14" s="16">
        <v>1355</v>
      </c>
      <c r="P14" s="3"/>
      <c r="Q14" s="14"/>
    </row>
    <row r="15" spans="1:17" x14ac:dyDescent="0.35">
      <c r="A15" s="14" t="s">
        <v>249</v>
      </c>
      <c r="B15" s="14" t="str">
        <f>IF(HAF[[#This Row],[Program]]="Housing Accelerator Fund", "Round One", "Round Two")</f>
        <v>Round Two</v>
      </c>
      <c r="C15" s="14" t="s">
        <v>251</v>
      </c>
      <c r="D15" s="14" t="s">
        <v>9</v>
      </c>
      <c r="E15" s="14" t="s">
        <v>10</v>
      </c>
      <c r="F15" s="14" t="s">
        <v>11</v>
      </c>
      <c r="G15" s="15">
        <v>45698</v>
      </c>
      <c r="H15" s="15" t="str">
        <f>MID(HAF[[#This Row],[Client Program Name]], SEARCH( "-",HAF[[#This Row],[Client Program Name]])+1,LEN(HAF[[#This Row],[Client Program Name]])-(SEARCH( "-",HAF[[#This Row],[Client Program Name]])-1))</f>
        <v xml:space="preserve"> The City of Red Deer</v>
      </c>
      <c r="I15" s="16">
        <v>12514728.300000001</v>
      </c>
      <c r="J15" s="16">
        <f>IF(ISNUMBER(MATCH(HAF[[#This Row],[Client Program Name]],Table6[Client Program],0)), VLOOKUP(HAF[[#This Row],[Client Program Name]],Table6[], 6, FALSE), 0 )</f>
        <v>0</v>
      </c>
      <c r="K15" s="16">
        <f>IF(ISNUMBER(MATCH(HAF[[#This Row],[Client Program Name]],Table6[Client Program],0)), VLOOKUP(HAF[[#This Row],[Client Program Name]],Table6[], 7, FALSE), VLOOKUP(HAF[[#This Row],[Client Program Name]],Table2[], 7, FALSE) )</f>
        <v>825</v>
      </c>
      <c r="L15" s="16">
        <v>352</v>
      </c>
      <c r="M15" s="16">
        <f>IF(ISNUMBER(MATCH(HAF[[#This Row],[Client Program Name]],Table6[Client Program],0)), VLOOKUP(HAF[[#This Row],[Client Program Name]],Table6[], 9, FALSE), 0 )</f>
        <v>0</v>
      </c>
      <c r="N15" s="16">
        <f>IF(ISNUMBER(MATCH(HAF[[#This Row],[Client Program Name]],Table6[Client Program],0)), VLOOKUP(HAF[[#This Row],[Client Program Name]],Table6[], 10, FALSE), VLOOKUP(HAF[[#This Row],[Client Program Name]],Table2[], 8, FALSE) )</f>
        <v>1177</v>
      </c>
      <c r="O15" s="16">
        <v>2747</v>
      </c>
      <c r="P15" s="3"/>
      <c r="Q15" s="14"/>
    </row>
    <row r="16" spans="1:17" x14ac:dyDescent="0.35">
      <c r="A16" s="14" t="s">
        <v>249</v>
      </c>
      <c r="B16" s="14" t="str">
        <f>IF(HAF[[#This Row],[Program]]="Housing Accelerator Fund", "Round One", "Round Two")</f>
        <v>Round Two</v>
      </c>
      <c r="C16" s="14" t="s">
        <v>252</v>
      </c>
      <c r="D16" s="14" t="s">
        <v>9</v>
      </c>
      <c r="E16" s="14" t="s">
        <v>10</v>
      </c>
      <c r="F16" s="14" t="s">
        <v>11</v>
      </c>
      <c r="G16" s="15">
        <v>45654</v>
      </c>
      <c r="H16" s="15" t="str">
        <f>MID(HAF[[#This Row],[Client Program Name]], SEARCH( "-",HAF[[#This Row],[Client Program Name]])+1,LEN(HAF[[#This Row],[Client Program Name]])-(SEARCH( "-",HAF[[#This Row],[Client Program Name]])-1))</f>
        <v xml:space="preserve"> St. Albert</v>
      </c>
      <c r="I16" s="16">
        <v>11813094.4</v>
      </c>
      <c r="J16" s="16">
        <f>IF(ISNUMBER(MATCH(HAF[[#This Row],[Client Program Name]],Table6[Client Program],0)), VLOOKUP(HAF[[#This Row],[Client Program Name]],Table6[], 6, FALSE), 0 )</f>
        <v>0</v>
      </c>
      <c r="K16" s="16">
        <f>IF(ISNUMBER(MATCH(HAF[[#This Row],[Client Program Name]],Table6[Client Program],0)), VLOOKUP(HAF[[#This Row],[Client Program Name]],Table6[], 7, FALSE), VLOOKUP(HAF[[#This Row],[Client Program Name]],Table2[], 7, FALSE) )</f>
        <v>1322</v>
      </c>
      <c r="L16" s="16">
        <v>302</v>
      </c>
      <c r="M16" s="16">
        <f>IF(ISNUMBER(MATCH(HAF[[#This Row],[Client Program Name]],Table6[Client Program],0)), VLOOKUP(HAF[[#This Row],[Client Program Name]],Table6[], 9, FALSE), 0 )</f>
        <v>0</v>
      </c>
      <c r="N16" s="16">
        <f>IF(ISNUMBER(MATCH(HAF[[#This Row],[Client Program Name]],Table6[Client Program],0)), VLOOKUP(HAF[[#This Row],[Client Program Name]],Table6[], 10, FALSE), VLOOKUP(HAF[[#This Row],[Client Program Name]],Table2[], 8, FALSE) )</f>
        <v>1624</v>
      </c>
      <c r="O16" s="16">
        <v>2631</v>
      </c>
      <c r="P16" s="3"/>
      <c r="Q16" s="14"/>
    </row>
    <row r="17" spans="1:17" x14ac:dyDescent="0.35">
      <c r="A17" s="14" t="s">
        <v>249</v>
      </c>
      <c r="B17" s="14" t="str">
        <f>IF(HAF[[#This Row],[Program]]="Housing Accelerator Fund", "Round One", "Round Two")</f>
        <v>Round Two</v>
      </c>
      <c r="C17" s="14" t="s">
        <v>253</v>
      </c>
      <c r="D17" s="14" t="s">
        <v>9</v>
      </c>
      <c r="E17" s="14" t="s">
        <v>17</v>
      </c>
      <c r="F17" s="14" t="s">
        <v>254</v>
      </c>
      <c r="G17" s="15">
        <v>45644</v>
      </c>
      <c r="H17" s="15" t="str">
        <f>MID(HAF[[#This Row],[Client Program Name]], SEARCH( "-",HAF[[#This Row],[Client Program Name]])+1,LEN(HAF[[#This Row],[Client Program Name]])-(SEARCH( "-",HAF[[#This Row],[Client Program Name]])-1))</f>
        <v xml:space="preserve"> Parks Canada (Jasper)</v>
      </c>
      <c r="I17" s="16">
        <v>9483100</v>
      </c>
      <c r="J17" s="16">
        <f>IF(ISNUMBER(MATCH(HAF[[#This Row],[Client Program Name]],Table6[Client Program],0)), VLOOKUP(HAF[[#This Row],[Client Program Name]],Table6[], 6, FALSE), 0 )</f>
        <v>0</v>
      </c>
      <c r="K17" s="16">
        <f>IF(ISNUMBER(MATCH(HAF[[#This Row],[Client Program Name]],Table6[Client Program],0)), VLOOKUP(HAF[[#This Row],[Client Program Name]],Table6[], 7, FALSE), VLOOKUP(HAF[[#This Row],[Client Program Name]],Table2[], 7, FALSE) )</f>
        <v>709</v>
      </c>
      <c r="L17" s="16">
        <v>240</v>
      </c>
      <c r="M17" s="16">
        <f>IF(ISNUMBER(MATCH(HAF[[#This Row],[Client Program Name]],Table6[Client Program],0)), VLOOKUP(HAF[[#This Row],[Client Program Name]],Table6[], 9, FALSE), 0 )</f>
        <v>0</v>
      </c>
      <c r="N17" s="16">
        <f>IF(ISNUMBER(MATCH(HAF[[#This Row],[Client Program Name]],Table6[Client Program],0)), VLOOKUP(HAF[[#This Row],[Client Program Name]],Table6[], 10, FALSE), VLOOKUP(HAF[[#This Row],[Client Program Name]],Table2[], 8, FALSE) )</f>
        <v>949</v>
      </c>
      <c r="O17" s="16">
        <v>505</v>
      </c>
      <c r="P17" s="3"/>
      <c r="Q17" s="14"/>
    </row>
    <row r="18" spans="1:17" x14ac:dyDescent="0.35">
      <c r="A18" s="14" t="s">
        <v>249</v>
      </c>
      <c r="B18" s="14" t="str">
        <f>IF(HAF[[#This Row],[Program]]="Housing Accelerator Fund", "Round One", "Round Two")</f>
        <v>Round Two</v>
      </c>
      <c r="C18" s="14" t="s">
        <v>255</v>
      </c>
      <c r="D18" s="14" t="s">
        <v>9</v>
      </c>
      <c r="E18" s="14" t="s">
        <v>17</v>
      </c>
      <c r="F18" s="14" t="s">
        <v>11</v>
      </c>
      <c r="G18" s="15">
        <v>45671</v>
      </c>
      <c r="H18" s="15" t="str">
        <f>MID(HAF[[#This Row],[Client Program Name]], SEARCH( "-",HAF[[#This Row],[Client Program Name]])+1,LEN(HAF[[#This Row],[Client Program Name]])-(SEARCH( "-",HAF[[#This Row],[Client Program Name]])-1))</f>
        <v xml:space="preserve"> High Level</v>
      </c>
      <c r="I18" s="16">
        <v>1672139.9</v>
      </c>
      <c r="J18" s="16">
        <f>IF(ISNUMBER(MATCH(HAF[[#This Row],[Client Program Name]],Table6[Client Program],0)), VLOOKUP(HAF[[#This Row],[Client Program Name]],Table6[], 6, FALSE), 0 )</f>
        <v>0</v>
      </c>
      <c r="K18" s="16">
        <f>IF(ISNUMBER(MATCH(HAF[[#This Row],[Client Program Name]],Table6[Client Program],0)), VLOOKUP(HAF[[#This Row],[Client Program Name]],Table6[], 7, FALSE), VLOOKUP(HAF[[#This Row],[Client Program Name]],Table2[], 7, FALSE) )</f>
        <v>36</v>
      </c>
      <c r="L18" s="16">
        <v>51</v>
      </c>
      <c r="M18" s="16">
        <f>IF(ISNUMBER(MATCH(HAF[[#This Row],[Client Program Name]],Table6[Client Program],0)), VLOOKUP(HAF[[#This Row],[Client Program Name]],Table6[], 9, FALSE), 0 )</f>
        <v>0</v>
      </c>
      <c r="N18" s="16">
        <f>IF(ISNUMBER(MATCH(HAF[[#This Row],[Client Program Name]],Table6[Client Program],0)), VLOOKUP(HAF[[#This Row],[Client Program Name]],Table6[], 10, FALSE), VLOOKUP(HAF[[#This Row],[Client Program Name]],Table2[], 8, FALSE) )</f>
        <v>87</v>
      </c>
      <c r="O18" s="16">
        <v>545</v>
      </c>
      <c r="P18" s="3"/>
      <c r="Q18" s="14"/>
    </row>
    <row r="19" spans="1:17" x14ac:dyDescent="0.35">
      <c r="A19" s="14" t="s">
        <v>248</v>
      </c>
      <c r="B19" s="14" t="str">
        <f>IF(HAF[[#This Row],[Program]]="Housing Accelerator Fund", "Round One", "Round Two")</f>
        <v>Round One</v>
      </c>
      <c r="C19" s="14" t="s">
        <v>66</v>
      </c>
      <c r="D19" s="14" t="s">
        <v>32</v>
      </c>
      <c r="E19" s="14" t="s">
        <v>10</v>
      </c>
      <c r="F19" s="14" t="s">
        <v>11</v>
      </c>
      <c r="G19" s="15">
        <v>45337</v>
      </c>
      <c r="H19" s="15" t="str">
        <f>MID(HAF[[#This Row],[Client Program Name]], SEARCH( "-",HAF[[#This Row],[Client Program Name]])+1,LEN(HAF[[#This Row],[Client Program Name]])-(SEARCH( "-",HAF[[#This Row],[Client Program Name]])-1))</f>
        <v xml:space="preserve"> The Corporation of the City of New Westminster</v>
      </c>
      <c r="I19" s="16">
        <v>11428628</v>
      </c>
      <c r="J19" s="16">
        <f>IF(ISNUMBER(MATCH(HAF[[#This Row],[Client Program Name]],Table6[Client Program],0)), VLOOKUP(HAF[[#This Row],[Client Program Name]],Table6[], 6, FALSE), 0 )</f>
        <v>11428628</v>
      </c>
      <c r="K19" s="16">
        <f>IF(ISNUMBER(MATCH(HAF[[#This Row],[Client Program Name]],Table6[Client Program],0)), VLOOKUP(HAF[[#This Row],[Client Program Name]],Table6[], 7, FALSE), VLOOKUP(HAF[[#This Row],[Client Program Name]],Table2[], 7, FALSE) )</f>
        <v>2035</v>
      </c>
      <c r="L19" s="16">
        <v>311</v>
      </c>
      <c r="M19" s="16">
        <f>IF(ISNUMBER(MATCH(HAF[[#This Row],[Client Program Name]],Table6[Client Program],0)), VLOOKUP(HAF[[#This Row],[Client Program Name]],Table6[], 9, FALSE), 0 )</f>
        <v>311</v>
      </c>
      <c r="N19" s="16">
        <f>IF(ISNUMBER(MATCH(HAF[[#This Row],[Client Program Name]],Table6[Client Program],0)), VLOOKUP(HAF[[#This Row],[Client Program Name]],Table6[], 10, FALSE), VLOOKUP(HAF[[#This Row],[Client Program Name]],Table2[], 8, FALSE) )</f>
        <v>2346</v>
      </c>
      <c r="O19" s="16">
        <v>2734</v>
      </c>
      <c r="P19" s="3"/>
      <c r="Q19" s="14"/>
    </row>
    <row r="20" spans="1:17" x14ac:dyDescent="0.35">
      <c r="A20" s="14" t="s">
        <v>248</v>
      </c>
      <c r="B20" s="14" t="str">
        <f>IF(HAF[[#This Row],[Program]]="Housing Accelerator Fund", "Round One", "Round Two")</f>
        <v>Round One</v>
      </c>
      <c r="C20" s="14" t="s">
        <v>39</v>
      </c>
      <c r="D20" s="14" t="s">
        <v>32</v>
      </c>
      <c r="E20" s="14" t="s">
        <v>10</v>
      </c>
      <c r="F20" s="14" t="s">
        <v>11</v>
      </c>
      <c r="G20" s="15">
        <v>45302</v>
      </c>
      <c r="H20" s="15" t="str">
        <f>MID(HAF[[#This Row],[Client Program Name]], SEARCH( "-",HAF[[#This Row],[Client Program Name]])+1,LEN(HAF[[#This Row],[Client Program Name]])-(SEARCH( "-",HAF[[#This Row],[Client Program Name]])-1))</f>
        <v xml:space="preserve"> City of Campbell River</v>
      </c>
      <c r="I20" s="16">
        <v>10420992.300000001</v>
      </c>
      <c r="J20" s="16">
        <f>IF(ISNUMBER(MATCH(HAF[[#This Row],[Client Program Name]],Table6[Client Program],0)), VLOOKUP(HAF[[#This Row],[Client Program Name]],Table6[], 6, FALSE), 0 )</f>
        <v>10420992</v>
      </c>
      <c r="K20" s="16">
        <f>IF(ISNUMBER(MATCH(HAF[[#This Row],[Client Program Name]],Table6[Client Program],0)), VLOOKUP(HAF[[#This Row],[Client Program Name]],Table6[], 7, FALSE), VLOOKUP(HAF[[#This Row],[Client Program Name]],Table2[], 7, FALSE) )</f>
        <v>995</v>
      </c>
      <c r="L20" s="16">
        <v>282</v>
      </c>
      <c r="M20" s="16">
        <f>IF(ISNUMBER(MATCH(HAF[[#This Row],[Client Program Name]],Table6[Client Program],0)), VLOOKUP(HAF[[#This Row],[Client Program Name]],Table6[], 9, FALSE), 0 )</f>
        <v>282</v>
      </c>
      <c r="N20" s="16">
        <f>IF(ISNUMBER(MATCH(HAF[[#This Row],[Client Program Name]],Table6[Client Program],0)), VLOOKUP(HAF[[#This Row],[Client Program Name]],Table6[], 10, FALSE), VLOOKUP(HAF[[#This Row],[Client Program Name]],Table2[], 8, FALSE) )</f>
        <v>1277</v>
      </c>
      <c r="O20" s="16">
        <v>4256</v>
      </c>
      <c r="P20" s="3"/>
      <c r="Q20" s="14"/>
    </row>
    <row r="21" spans="1:17" x14ac:dyDescent="0.35">
      <c r="A21" s="14" t="s">
        <v>248</v>
      </c>
      <c r="B21" s="14" t="str">
        <f>IF(HAF[[#This Row],[Program]]="Housing Accelerator Fund", "Round One", "Round Two")</f>
        <v>Round One</v>
      </c>
      <c r="C21" s="14" t="s">
        <v>67</v>
      </c>
      <c r="D21" s="14" t="s">
        <v>32</v>
      </c>
      <c r="E21" s="14" t="s">
        <v>10</v>
      </c>
      <c r="F21" s="14" t="s">
        <v>11</v>
      </c>
      <c r="G21" s="15">
        <v>45315</v>
      </c>
      <c r="H21" s="15" t="str">
        <f>MID(HAF[[#This Row],[Client Program Name]], SEARCH( "-",HAF[[#This Row],[Client Program Name]])+1,LEN(HAF[[#This Row],[Client Program Name]])-(SEARCH( "-",HAF[[#This Row],[Client Program Name]])-1))</f>
        <v xml:space="preserve"> Town of Comox</v>
      </c>
      <c r="I21" s="16">
        <v>5104222.7</v>
      </c>
      <c r="J21" s="16">
        <f>IF(ISNUMBER(MATCH(HAF[[#This Row],[Client Program Name]],Table6[Client Program],0)), VLOOKUP(HAF[[#This Row],[Client Program Name]],Table6[], 6, FALSE), 0 )</f>
        <v>5104223</v>
      </c>
      <c r="K21" s="16">
        <f>IF(ISNUMBER(MATCH(HAF[[#This Row],[Client Program Name]],Table6[Client Program],0)), VLOOKUP(HAF[[#This Row],[Client Program Name]],Table6[], 7, FALSE), VLOOKUP(HAF[[#This Row],[Client Program Name]],Table2[], 7, FALSE) )</f>
        <v>628</v>
      </c>
      <c r="L21" s="16">
        <v>173</v>
      </c>
      <c r="M21" s="16">
        <f>IF(ISNUMBER(MATCH(HAF[[#This Row],[Client Program Name]],Table6[Client Program],0)), VLOOKUP(HAF[[#This Row],[Client Program Name]],Table6[], 9, FALSE), 0 )</f>
        <v>173</v>
      </c>
      <c r="N21" s="16">
        <f>IF(ISNUMBER(MATCH(HAF[[#This Row],[Client Program Name]],Table6[Client Program],0)), VLOOKUP(HAF[[#This Row],[Client Program Name]],Table6[], 10, FALSE), VLOOKUP(HAF[[#This Row],[Client Program Name]],Table2[], 8, FALSE) )</f>
        <v>801</v>
      </c>
      <c r="O21" s="16">
        <v>3700</v>
      </c>
      <c r="P21" s="3"/>
      <c r="Q21" s="14"/>
    </row>
    <row r="22" spans="1:17" x14ac:dyDescent="0.35">
      <c r="A22" s="14" t="s">
        <v>248</v>
      </c>
      <c r="B22" s="14" t="str">
        <f>IF(HAF[[#This Row],[Program]]="Housing Accelerator Fund", "Round One", "Round Two")</f>
        <v>Round One</v>
      </c>
      <c r="C22" s="14" t="s">
        <v>31</v>
      </c>
      <c r="D22" s="14" t="s">
        <v>32</v>
      </c>
      <c r="E22" s="14" t="s">
        <v>10</v>
      </c>
      <c r="F22" s="14" t="s">
        <v>11</v>
      </c>
      <c r="G22" s="15">
        <v>45275</v>
      </c>
      <c r="H22" s="15" t="str">
        <f>MID(HAF[[#This Row],[Client Program Name]], SEARCH( "-",HAF[[#This Row],[Client Program Name]])+1,LEN(HAF[[#This Row],[Client Program Name]])-(SEARCH( "-",HAF[[#This Row],[Client Program Name]])-1))</f>
        <v xml:space="preserve"> Abbotsford</v>
      </c>
      <c r="I22" s="16">
        <v>25652770</v>
      </c>
      <c r="J22" s="16">
        <f>IF(ISNUMBER(MATCH(HAF[[#This Row],[Client Program Name]],Table6[Client Program],0)), VLOOKUP(HAF[[#This Row],[Client Program Name]],Table6[], 6, FALSE), 0 )</f>
        <v>25652770</v>
      </c>
      <c r="K22" s="16">
        <f>IF(ISNUMBER(MATCH(HAF[[#This Row],[Client Program Name]],Table6[Client Program],0)), VLOOKUP(HAF[[#This Row],[Client Program Name]],Table6[], 7, FALSE), VLOOKUP(HAF[[#This Row],[Client Program Name]],Table2[], 7, FALSE) )</f>
        <v>1953</v>
      </c>
      <c r="L22" s="16">
        <v>737</v>
      </c>
      <c r="M22" s="16">
        <f>IF(ISNUMBER(MATCH(HAF[[#This Row],[Client Program Name]],Table6[Client Program],0)), VLOOKUP(HAF[[#This Row],[Client Program Name]],Table6[], 9, FALSE), 0 )</f>
        <v>737</v>
      </c>
      <c r="N22" s="16">
        <f>IF(ISNUMBER(MATCH(HAF[[#This Row],[Client Program Name]],Table6[Client Program],0)), VLOOKUP(HAF[[#This Row],[Client Program Name]],Table6[], 10, FALSE), VLOOKUP(HAF[[#This Row],[Client Program Name]],Table2[], 8, FALSE) )</f>
        <v>2690</v>
      </c>
      <c r="O22" s="16">
        <v>2326</v>
      </c>
      <c r="P22" s="3"/>
      <c r="Q22" s="14"/>
    </row>
    <row r="23" spans="1:17" x14ac:dyDescent="0.35">
      <c r="A23" s="14" t="s">
        <v>248</v>
      </c>
      <c r="B23" s="14" t="str">
        <f>IF(HAF[[#This Row],[Program]]="Housing Accelerator Fund", "Round One", "Round Two")</f>
        <v>Round One</v>
      </c>
      <c r="C23" s="14" t="s">
        <v>40</v>
      </c>
      <c r="D23" s="14" t="s">
        <v>32</v>
      </c>
      <c r="E23" s="14" t="s">
        <v>10</v>
      </c>
      <c r="F23" s="14" t="s">
        <v>11</v>
      </c>
      <c r="G23" s="15">
        <v>45306</v>
      </c>
      <c r="H23" s="15" t="str">
        <f>MID(HAF[[#This Row],[Client Program Name]], SEARCH( "-",HAF[[#This Row],[Client Program Name]])+1,LEN(HAF[[#This Row],[Client Program Name]])-(SEARCH( "-",HAF[[#This Row],[Client Program Name]])-1))</f>
        <v xml:space="preserve"> City of Coquitlam</v>
      </c>
      <c r="I23" s="16">
        <v>27507965.5</v>
      </c>
      <c r="J23" s="16">
        <f>IF(ISNUMBER(MATCH(HAF[[#This Row],[Client Program Name]],Table6[Client Program],0)), VLOOKUP(HAF[[#This Row],[Client Program Name]],Table6[], 6, FALSE), 0 )</f>
        <v>25027966</v>
      </c>
      <c r="K23" s="16">
        <f>IF(ISNUMBER(MATCH(HAF[[#This Row],[Client Program Name]],Table6[Client Program],0)), VLOOKUP(HAF[[#This Row],[Client Program Name]],Table6[], 7, FALSE), VLOOKUP(HAF[[#This Row],[Client Program Name]],Table2[], 7, FALSE) )</f>
        <v>5777</v>
      </c>
      <c r="L23" s="16">
        <v>746</v>
      </c>
      <c r="M23" s="16">
        <f>IF(ISNUMBER(MATCH(HAF[[#This Row],[Client Program Name]],Table6[Client Program],0)), VLOOKUP(HAF[[#This Row],[Client Program Name]],Table6[], 9, FALSE), 0 )</f>
        <v>666</v>
      </c>
      <c r="N23" s="16">
        <f>IF(ISNUMBER(MATCH(HAF[[#This Row],[Client Program Name]],Table6[Client Program],0)), VLOOKUP(HAF[[#This Row],[Client Program Name]],Table6[], 10, FALSE), VLOOKUP(HAF[[#This Row],[Client Program Name]],Table2[], 8, FALSE) )</f>
        <v>6523</v>
      </c>
      <c r="O23" s="16">
        <v>3267</v>
      </c>
      <c r="P23" s="3"/>
      <c r="Q23" s="14"/>
    </row>
    <row r="24" spans="1:17" x14ac:dyDescent="0.35">
      <c r="A24" s="14" t="s">
        <v>248</v>
      </c>
      <c r="B24" s="14" t="str">
        <f>IF(HAF[[#This Row],[Program]]="Housing Accelerator Fund", "Round One", "Round Two")</f>
        <v>Round One</v>
      </c>
      <c r="C24" s="14" t="s">
        <v>75</v>
      </c>
      <c r="D24" s="14" t="s">
        <v>32</v>
      </c>
      <c r="E24" s="14" t="s">
        <v>10</v>
      </c>
      <c r="F24" s="14" t="s">
        <v>11</v>
      </c>
      <c r="G24" s="15">
        <v>45229</v>
      </c>
      <c r="H24" s="15" t="str">
        <f>MID(HAF[[#This Row],[Client Program Name]], SEARCH( "-",HAF[[#This Row],[Client Program Name]])+1,LEN(HAF[[#This Row],[Client Program Name]])-(SEARCH( "-",HAF[[#This Row],[Client Program Name]])-1))</f>
        <v xml:space="preserve"> Victoria</v>
      </c>
      <c r="I24" s="16">
        <v>17940560</v>
      </c>
      <c r="J24" s="16">
        <f>IF(ISNUMBER(MATCH(HAF[[#This Row],[Client Program Name]],Table6[Client Program],0)), VLOOKUP(HAF[[#This Row],[Client Program Name]],Table6[], 6, FALSE), 0 )</f>
        <v>17940560</v>
      </c>
      <c r="K24" s="16">
        <f>IF(ISNUMBER(MATCH(HAF[[#This Row],[Client Program Name]],Table6[Client Program],0)), VLOOKUP(HAF[[#This Row],[Client Program Name]],Table6[], 7, FALSE), VLOOKUP(HAF[[#This Row],[Client Program Name]],Table2[], 7, FALSE) )</f>
        <v>2741</v>
      </c>
      <c r="L24" s="16">
        <v>462</v>
      </c>
      <c r="M24" s="16">
        <f>IF(ISNUMBER(MATCH(HAF[[#This Row],[Client Program Name]],Table6[Client Program],0)), VLOOKUP(HAF[[#This Row],[Client Program Name]],Table6[], 9, FALSE), 0 )</f>
        <v>462</v>
      </c>
      <c r="N24" s="16">
        <f>IF(ISNUMBER(MATCH(HAF[[#This Row],[Client Program Name]],Table6[Client Program],0)), VLOOKUP(HAF[[#This Row],[Client Program Name]],Table6[], 10, FALSE), VLOOKUP(HAF[[#This Row],[Client Program Name]],Table2[], 8, FALSE) )</f>
        <v>3203</v>
      </c>
      <c r="O24" s="16">
        <v>8300</v>
      </c>
      <c r="P24" s="3"/>
      <c r="Q24" s="14"/>
    </row>
    <row r="25" spans="1:17" x14ac:dyDescent="0.35">
      <c r="A25" s="14" t="s">
        <v>248</v>
      </c>
      <c r="B25" s="14" t="str">
        <f>IF(HAF[[#This Row],[Program]]="Housing Accelerator Fund", "Round One", "Round Two")</f>
        <v>Round One</v>
      </c>
      <c r="C25" s="14" t="s">
        <v>65</v>
      </c>
      <c r="D25" s="14" t="s">
        <v>32</v>
      </c>
      <c r="E25" s="14" t="s">
        <v>10</v>
      </c>
      <c r="F25" s="14" t="s">
        <v>11</v>
      </c>
      <c r="G25" s="15">
        <v>45264</v>
      </c>
      <c r="H25" s="15" t="str">
        <f>MID(HAF[[#This Row],[Client Program Name]], SEARCH( "-",HAF[[#This Row],[Client Program Name]])+1,LEN(HAF[[#This Row],[Client Program Name]])-(SEARCH( "-",HAF[[#This Row],[Client Program Name]])-1))</f>
        <v xml:space="preserve"> Surrey</v>
      </c>
      <c r="I25" s="16">
        <v>100741500</v>
      </c>
      <c r="J25" s="16">
        <f>IF(ISNUMBER(MATCH(HAF[[#This Row],[Client Program Name]],Table6[Client Program],0)), VLOOKUP(HAF[[#This Row],[Client Program Name]],Table6[], 6, FALSE), 0 )</f>
        <v>95641500</v>
      </c>
      <c r="K25" s="16">
        <f>IF(ISNUMBER(MATCH(HAF[[#This Row],[Client Program Name]],Table6[Client Program],0)), VLOOKUP(HAF[[#This Row],[Client Program Name]],Table6[], 7, FALSE), VLOOKUP(HAF[[#This Row],[Client Program Name]],Table2[], 7, FALSE) )</f>
        <v>10050</v>
      </c>
      <c r="L25" s="16">
        <v>2950</v>
      </c>
      <c r="M25" s="16">
        <f>IF(ISNUMBER(MATCH(HAF[[#This Row],[Client Program Name]],Table6[Client Program],0)), VLOOKUP(HAF[[#This Row],[Client Program Name]],Table6[], 9, FALSE), 0 )</f>
        <v>2800</v>
      </c>
      <c r="N25" s="16">
        <f>IF(ISNUMBER(MATCH(HAF[[#This Row],[Client Program Name]],Table6[Client Program],0)), VLOOKUP(HAF[[#This Row],[Client Program Name]],Table6[], 10, FALSE), VLOOKUP(HAF[[#This Row],[Client Program Name]],Table2[], 8, FALSE) )</f>
        <v>13000</v>
      </c>
      <c r="O25" s="16">
        <v>18500</v>
      </c>
      <c r="P25" s="3"/>
      <c r="Q25" s="14"/>
    </row>
    <row r="26" spans="1:17" x14ac:dyDescent="0.35">
      <c r="A26" s="14" t="s">
        <v>248</v>
      </c>
      <c r="B26" s="14" t="str">
        <f>IF(HAF[[#This Row],[Program]]="Housing Accelerator Fund", "Round One", "Round Two")</f>
        <v>Round One</v>
      </c>
      <c r="C26" s="14" t="s">
        <v>43</v>
      </c>
      <c r="D26" s="14" t="s">
        <v>32</v>
      </c>
      <c r="E26" s="14" t="s">
        <v>10</v>
      </c>
      <c r="F26" s="14" t="s">
        <v>11</v>
      </c>
      <c r="G26" s="15">
        <v>45337</v>
      </c>
      <c r="H26" s="15" t="str">
        <f>MID(HAF[[#This Row],[Client Program Name]], SEARCH( "-",HAF[[#This Row],[Client Program Name]])+1,LEN(HAF[[#This Row],[Client Program Name]])-(SEARCH( "-",HAF[[#This Row],[Client Program Name]])-1))</f>
        <v xml:space="preserve"> District of Saanich</v>
      </c>
      <c r="I26" s="16">
        <v>14936100.699999999</v>
      </c>
      <c r="J26" s="16">
        <f>IF(ISNUMBER(MATCH(HAF[[#This Row],[Client Program Name]],Table6[Client Program],0)), VLOOKUP(HAF[[#This Row],[Client Program Name]],Table6[], 6, FALSE), 0 )</f>
        <v>14936101</v>
      </c>
      <c r="K26" s="16">
        <f>IF(ISNUMBER(MATCH(HAF[[#This Row],[Client Program Name]],Table6[Client Program],0)), VLOOKUP(HAF[[#This Row],[Client Program Name]],Table6[], 7, FALSE), VLOOKUP(HAF[[#This Row],[Client Program Name]],Table2[], 7, FALSE) )</f>
        <v>1214</v>
      </c>
      <c r="L26" s="16">
        <v>513</v>
      </c>
      <c r="M26" s="16">
        <f>IF(ISNUMBER(MATCH(HAF[[#This Row],[Client Program Name]],Table6[Client Program],0)), VLOOKUP(HAF[[#This Row],[Client Program Name]],Table6[], 9, FALSE), 0 )</f>
        <v>513</v>
      </c>
      <c r="N26" s="16">
        <f>IF(ISNUMBER(MATCH(HAF[[#This Row],[Client Program Name]],Table6[Client Program],0)), VLOOKUP(HAF[[#This Row],[Client Program Name]],Table6[], 10, FALSE), VLOOKUP(HAF[[#This Row],[Client Program Name]],Table2[], 8, FALSE) )</f>
        <v>1727</v>
      </c>
      <c r="O26" s="16">
        <v>4766</v>
      </c>
      <c r="P26" s="3"/>
      <c r="Q26" s="14"/>
    </row>
    <row r="27" spans="1:17" x14ac:dyDescent="0.35">
      <c r="A27" s="14" t="s">
        <v>248</v>
      </c>
      <c r="B27" s="14" t="str">
        <f>IF(HAF[[#This Row],[Program]]="Housing Accelerator Fund", "Round One", "Round Two")</f>
        <v>Round One</v>
      </c>
      <c r="C27" s="14" t="s">
        <v>51</v>
      </c>
      <c r="D27" s="14" t="s">
        <v>32</v>
      </c>
      <c r="E27" s="14" t="s">
        <v>10</v>
      </c>
      <c r="F27" s="14" t="s">
        <v>11</v>
      </c>
      <c r="G27" s="15">
        <v>45218</v>
      </c>
      <c r="H27" s="15" t="str">
        <f>MID(HAF[[#This Row],[Client Program Name]], SEARCH( "-",HAF[[#This Row],[Client Program Name]])+1,LEN(HAF[[#This Row],[Client Program Name]])-(SEARCH( "-",HAF[[#This Row],[Client Program Name]])-1))</f>
        <v xml:space="preserve"> Kelowna</v>
      </c>
      <c r="I27" s="16">
        <v>31558610</v>
      </c>
      <c r="J27" s="16">
        <f>IF(ISNUMBER(MATCH(HAF[[#This Row],[Client Program Name]],Table6[Client Program],0)), VLOOKUP(HAF[[#This Row],[Client Program Name]],Table6[], 6, FALSE), 0 )</f>
        <v>31558610</v>
      </c>
      <c r="K27" s="16">
        <f>IF(ISNUMBER(MATCH(HAF[[#This Row],[Client Program Name]],Table6[Client Program],0)), VLOOKUP(HAF[[#This Row],[Client Program Name]],Table6[], 7, FALSE), VLOOKUP(HAF[[#This Row],[Client Program Name]],Table2[], 7, FALSE) )</f>
        <v>6480</v>
      </c>
      <c r="L27" s="16">
        <v>950</v>
      </c>
      <c r="M27" s="16">
        <f>IF(ISNUMBER(MATCH(HAF[[#This Row],[Client Program Name]],Table6[Client Program],0)), VLOOKUP(HAF[[#This Row],[Client Program Name]],Table6[], 9, FALSE), 0 )</f>
        <v>950</v>
      </c>
      <c r="N27" s="16">
        <f>IF(ISNUMBER(MATCH(HAF[[#This Row],[Client Program Name]],Table6[Client Program],0)), VLOOKUP(HAF[[#This Row],[Client Program Name]],Table6[], 10, FALSE), VLOOKUP(HAF[[#This Row],[Client Program Name]],Table2[], 8, FALSE) )</f>
        <v>7430</v>
      </c>
      <c r="O27" s="16">
        <v>20680</v>
      </c>
      <c r="P27" s="3"/>
      <c r="Q27" s="14"/>
    </row>
    <row r="28" spans="1:17" x14ac:dyDescent="0.35">
      <c r="A28" s="14" t="s">
        <v>248</v>
      </c>
      <c r="B28" s="14" t="str">
        <f>IF(HAF[[#This Row],[Program]]="Housing Accelerator Fund", "Round One", "Round Two")</f>
        <v>Round One</v>
      </c>
      <c r="C28" s="14" t="s">
        <v>41</v>
      </c>
      <c r="D28" s="14" t="s">
        <v>32</v>
      </c>
      <c r="E28" s="14" t="s">
        <v>10</v>
      </c>
      <c r="F28" s="14" t="s">
        <v>11</v>
      </c>
      <c r="G28" s="15">
        <v>45310</v>
      </c>
      <c r="H28" s="15" t="str">
        <f>MID(HAF[[#This Row],[Client Program Name]], SEARCH( "-",HAF[[#This Row],[Client Program Name]])+1,LEN(HAF[[#This Row],[Client Program Name]])-(SEARCH( "-",HAF[[#This Row],[Client Program Name]])-1))</f>
        <v xml:space="preserve"> Corporation of the City of North Vancouver</v>
      </c>
      <c r="I28" s="16">
        <v>18599100</v>
      </c>
      <c r="J28" s="16">
        <f>IF(ISNUMBER(MATCH(HAF[[#This Row],[Client Program Name]],Table6[Client Program],0)), VLOOKUP(HAF[[#This Row],[Client Program Name]],Table6[], 6, FALSE), 0 )</f>
        <v>18599100</v>
      </c>
      <c r="K28" s="16">
        <f>IF(ISNUMBER(MATCH(HAF[[#This Row],[Client Program Name]],Table6[Client Program],0)), VLOOKUP(HAF[[#This Row],[Client Program Name]],Table6[], 7, FALSE), VLOOKUP(HAF[[#This Row],[Client Program Name]],Table2[], 7, FALSE) )</f>
        <v>1365</v>
      </c>
      <c r="L28" s="16">
        <v>530</v>
      </c>
      <c r="M28" s="16">
        <f>IF(ISNUMBER(MATCH(HAF[[#This Row],[Client Program Name]],Table6[Client Program],0)), VLOOKUP(HAF[[#This Row],[Client Program Name]],Table6[], 9, FALSE), 0 )</f>
        <v>530</v>
      </c>
      <c r="N28" s="16">
        <f>IF(ISNUMBER(MATCH(HAF[[#This Row],[Client Program Name]],Table6[Client Program],0)), VLOOKUP(HAF[[#This Row],[Client Program Name]],Table6[], 10, FALSE), VLOOKUP(HAF[[#This Row],[Client Program Name]],Table2[], 8, FALSE) )</f>
        <v>1895</v>
      </c>
      <c r="O28" s="16">
        <v>3170</v>
      </c>
      <c r="P28" s="3"/>
      <c r="Q28" s="14"/>
    </row>
    <row r="29" spans="1:17" x14ac:dyDescent="0.35">
      <c r="A29" s="14" t="s">
        <v>248</v>
      </c>
      <c r="B29" s="14" t="str">
        <f>IF(HAF[[#This Row],[Program]]="Housing Accelerator Fund", "Round One", "Round Two")</f>
        <v>Round One</v>
      </c>
      <c r="C29" s="14" t="s">
        <v>38</v>
      </c>
      <c r="D29" s="14" t="s">
        <v>32</v>
      </c>
      <c r="E29" s="14" t="s">
        <v>10</v>
      </c>
      <c r="F29" s="14" t="s">
        <v>11</v>
      </c>
      <c r="G29" s="15">
        <v>45264</v>
      </c>
      <c r="H29" s="15" t="str">
        <f>MID(HAF[[#This Row],[Client Program Name]], SEARCH( "-",HAF[[#This Row],[Client Program Name]])+1,LEN(HAF[[#This Row],[Client Program Name]])-(SEARCH( "-",HAF[[#This Row],[Client Program Name]])-1))</f>
        <v xml:space="preserve"> Burnaby</v>
      </c>
      <c r="I29" s="16">
        <v>43409600</v>
      </c>
      <c r="J29" s="16">
        <f>IF(ISNUMBER(MATCH(HAF[[#This Row],[Client Program Name]],Table6[Client Program],0)), VLOOKUP(HAF[[#This Row],[Client Program Name]],Table6[], 6, FALSE), 0 )</f>
        <v>43409600</v>
      </c>
      <c r="K29" s="16">
        <f>IF(ISNUMBER(MATCH(HAF[[#This Row],[Client Program Name]],Table6[Client Program],0)), VLOOKUP(HAF[[#This Row],[Client Program Name]],Table6[], 7, FALSE), VLOOKUP(HAF[[#This Row],[Client Program Name]],Table2[], 7, FALSE) )</f>
        <v>10050</v>
      </c>
      <c r="L29" s="16">
        <v>1290</v>
      </c>
      <c r="M29" s="16">
        <f>IF(ISNUMBER(MATCH(HAF[[#This Row],[Client Program Name]],Table6[Client Program],0)), VLOOKUP(HAF[[#This Row],[Client Program Name]],Table6[], 9, FALSE), 0 )</f>
        <v>1290</v>
      </c>
      <c r="N29" s="16">
        <f>IF(ISNUMBER(MATCH(HAF[[#This Row],[Client Program Name]],Table6[Client Program],0)), VLOOKUP(HAF[[#This Row],[Client Program Name]],Table6[], 10, FALSE), VLOOKUP(HAF[[#This Row],[Client Program Name]],Table2[], 8, FALSE) )</f>
        <v>11340</v>
      </c>
      <c r="O29" s="16">
        <v>11950</v>
      </c>
      <c r="P29" s="3"/>
      <c r="Q29" s="14"/>
    </row>
    <row r="30" spans="1:17" x14ac:dyDescent="0.35">
      <c r="A30" s="14" t="s">
        <v>248</v>
      </c>
      <c r="B30" s="14" t="str">
        <f>IF(HAF[[#This Row],[Program]]="Housing Accelerator Fund", "Round One", "Round Two")</f>
        <v>Round One</v>
      </c>
      <c r="C30" s="14" t="s">
        <v>74</v>
      </c>
      <c r="D30" s="14" t="s">
        <v>32</v>
      </c>
      <c r="E30" s="14" t="s">
        <v>10</v>
      </c>
      <c r="F30" s="14" t="s">
        <v>11</v>
      </c>
      <c r="G30" s="15">
        <v>45236</v>
      </c>
      <c r="H30" s="15" t="str">
        <f>MID(HAF[[#This Row],[Client Program Name]], SEARCH( "-",HAF[[#This Row],[Client Program Name]])+1,LEN(HAF[[#This Row],[Client Program Name]])-(SEARCH( "-",HAF[[#This Row],[Client Program Name]])-1))</f>
        <v xml:space="preserve"> Vancouver</v>
      </c>
      <c r="I30" s="16">
        <v>119358000</v>
      </c>
      <c r="J30" s="16">
        <f>IF(ISNUMBER(MATCH(HAF[[#This Row],[Client Program Name]],Table6[Client Program],0)), VLOOKUP(HAF[[#This Row],[Client Program Name]],Table6[], 6, FALSE), 0 )</f>
        <v>114983000</v>
      </c>
      <c r="K30" s="16">
        <f>IF(ISNUMBER(MATCH(HAF[[#This Row],[Client Program Name]],Table6[Client Program],0)), VLOOKUP(HAF[[#This Row],[Client Program Name]],Table6[], 7, FALSE), VLOOKUP(HAF[[#This Row],[Client Program Name]],Table2[], 7, FALSE) )</f>
        <v>12500</v>
      </c>
      <c r="L30" s="16">
        <v>3325</v>
      </c>
      <c r="M30" s="16">
        <f>IF(ISNUMBER(MATCH(HAF[[#This Row],[Client Program Name]],Table6[Client Program],0)), VLOOKUP(HAF[[#This Row],[Client Program Name]],Table6[], 9, FALSE), 0 )</f>
        <v>3200</v>
      </c>
      <c r="N30" s="16">
        <f>IF(ISNUMBER(MATCH(HAF[[#This Row],[Client Program Name]],Table6[Client Program],0)), VLOOKUP(HAF[[#This Row],[Client Program Name]],Table6[], 10, FALSE), VLOOKUP(HAF[[#This Row],[Client Program Name]],Table2[], 8, FALSE) )</f>
        <v>15825</v>
      </c>
      <c r="O30" s="16">
        <v>41000</v>
      </c>
      <c r="P30" s="3"/>
      <c r="Q30" s="14"/>
    </row>
    <row r="31" spans="1:17" x14ac:dyDescent="0.35">
      <c r="A31" s="14" t="s">
        <v>248</v>
      </c>
      <c r="B31" s="14" t="str">
        <f>IF(HAF[[#This Row],[Program]]="Housing Accelerator Fund", "Round One", "Round Two")</f>
        <v>Round One</v>
      </c>
      <c r="C31" s="14" t="s">
        <v>58</v>
      </c>
      <c r="D31" s="14" t="s">
        <v>32</v>
      </c>
      <c r="E31" s="14" t="s">
        <v>10</v>
      </c>
      <c r="F31" s="14" t="s">
        <v>11</v>
      </c>
      <c r="G31" s="15">
        <v>45274</v>
      </c>
      <c r="H31" s="15" t="str">
        <f>MID(HAF[[#This Row],[Client Program Name]], SEARCH( "-",HAF[[#This Row],[Client Program Name]])+1,LEN(HAF[[#This Row],[Client Program Name]])-(SEARCH( "-",HAF[[#This Row],[Client Program Name]])-1))</f>
        <v xml:space="preserve"> Richmond</v>
      </c>
      <c r="I31" s="16">
        <v>35932000</v>
      </c>
      <c r="J31" s="16">
        <f>IF(ISNUMBER(MATCH(HAF[[#This Row],[Client Program Name]],Table6[Client Program],0)), VLOOKUP(HAF[[#This Row],[Client Program Name]],Table6[], 6, FALSE), 0 )</f>
        <v>35932000</v>
      </c>
      <c r="K31" s="16">
        <f>IF(ISNUMBER(MATCH(HAF[[#This Row],[Client Program Name]],Table6[Client Program],0)), VLOOKUP(HAF[[#This Row],[Client Program Name]],Table6[], 7, FALSE), VLOOKUP(HAF[[#This Row],[Client Program Name]],Table2[], 7, FALSE) )</f>
        <v>4972</v>
      </c>
      <c r="L31" s="16">
        <v>1022</v>
      </c>
      <c r="M31" s="16">
        <f>IF(ISNUMBER(MATCH(HAF[[#This Row],[Client Program Name]],Table6[Client Program],0)), VLOOKUP(HAF[[#This Row],[Client Program Name]],Table6[], 9, FALSE), 0 )</f>
        <v>1022</v>
      </c>
      <c r="N31" s="16">
        <f>IF(ISNUMBER(MATCH(HAF[[#This Row],[Client Program Name]],Table6[Client Program],0)), VLOOKUP(HAF[[#This Row],[Client Program Name]],Table6[], 10, FALSE), VLOOKUP(HAF[[#This Row],[Client Program Name]],Table2[], 8, FALSE) )</f>
        <v>5994</v>
      </c>
      <c r="O31" s="16">
        <v>3125</v>
      </c>
      <c r="P31" s="3"/>
      <c r="Q31" s="14"/>
    </row>
    <row r="32" spans="1:17" x14ac:dyDescent="0.35">
      <c r="A32" s="14" t="s">
        <v>248</v>
      </c>
      <c r="B32" s="14" t="str">
        <f>IF(HAF[[#This Row],[Program]]="Housing Accelerator Fund", "Round One", "Round Two")</f>
        <v>Round One</v>
      </c>
      <c r="C32" s="14" t="s">
        <v>44</v>
      </c>
      <c r="D32" s="14" t="s">
        <v>32</v>
      </c>
      <c r="E32" s="14" t="s">
        <v>10</v>
      </c>
      <c r="F32" s="14" t="s">
        <v>11</v>
      </c>
      <c r="G32" s="15">
        <v>45303</v>
      </c>
      <c r="H32" s="15" t="str">
        <f>MID(HAF[[#This Row],[Client Program Name]], SEARCH( "-",HAF[[#This Row],[Client Program Name]])+1,LEN(HAF[[#This Row],[Client Program Name]])-(SEARCH( "-",HAF[[#This Row],[Client Program Name]])-1))</f>
        <v xml:space="preserve"> District of Squamish</v>
      </c>
      <c r="I32" s="16">
        <v>7007894.2999999998</v>
      </c>
      <c r="J32" s="16">
        <f>IF(ISNUMBER(MATCH(HAF[[#This Row],[Client Program Name]],Table6[Client Program],0)), VLOOKUP(HAF[[#This Row],[Client Program Name]],Table6[], 6, FALSE), 0 )</f>
        <v>7007894</v>
      </c>
      <c r="K32" s="16">
        <f>IF(ISNUMBER(MATCH(HAF[[#This Row],[Client Program Name]],Table6[Client Program],0)), VLOOKUP(HAF[[#This Row],[Client Program Name]],Table6[], 7, FALSE), VLOOKUP(HAF[[#This Row],[Client Program Name]],Table2[], 7, FALSE) )</f>
        <v>1336</v>
      </c>
      <c r="L32" s="16">
        <v>203</v>
      </c>
      <c r="M32" s="16">
        <f>IF(ISNUMBER(MATCH(HAF[[#This Row],[Client Program Name]],Table6[Client Program],0)), VLOOKUP(HAF[[#This Row],[Client Program Name]],Table6[], 9, FALSE), 0 )</f>
        <v>203</v>
      </c>
      <c r="N32" s="16">
        <f>IF(ISNUMBER(MATCH(HAF[[#This Row],[Client Program Name]],Table6[Client Program],0)), VLOOKUP(HAF[[#This Row],[Client Program Name]],Table6[], 10, FALSE), VLOOKUP(HAF[[#This Row],[Client Program Name]],Table2[], 8, FALSE) )</f>
        <v>1539</v>
      </c>
      <c r="O32" s="16">
        <v>1350</v>
      </c>
      <c r="P32" s="3"/>
      <c r="Q32" s="14"/>
    </row>
    <row r="33" spans="1:17" x14ac:dyDescent="0.35">
      <c r="A33" s="14" t="s">
        <v>248</v>
      </c>
      <c r="B33" s="14" t="str">
        <f>IF(HAF[[#This Row],[Program]]="Housing Accelerator Fund", "Round One", "Round Two")</f>
        <v>Round One</v>
      </c>
      <c r="C33" s="14" t="s">
        <v>45</v>
      </c>
      <c r="D33" s="14" t="s">
        <v>32</v>
      </c>
      <c r="E33" s="14" t="s">
        <v>17</v>
      </c>
      <c r="F33" s="14" t="s">
        <v>11</v>
      </c>
      <c r="G33" s="15">
        <v>45322</v>
      </c>
      <c r="H33" s="15" t="str">
        <f>MID(HAF[[#This Row],[Client Program Name]], SEARCH( "-",HAF[[#This Row],[Client Program Name]])+1,LEN(HAF[[#This Row],[Client Program Name]])-(SEARCH( "-",HAF[[#This Row],[Client Program Name]])-1))</f>
        <v xml:space="preserve"> District of Tofino</v>
      </c>
      <c r="I33" s="16">
        <v>1487174.8</v>
      </c>
      <c r="J33" s="16">
        <f>IF(ISNUMBER(MATCH(HAF[[#This Row],[Client Program Name]],Table6[Client Program],0)), VLOOKUP(HAF[[#This Row],[Client Program Name]],Table6[], 6, FALSE), 0 )</f>
        <v>1487175</v>
      </c>
      <c r="K33" s="16">
        <f>IF(ISNUMBER(MATCH(HAF[[#This Row],[Client Program Name]],Table6[Client Program],0)), VLOOKUP(HAF[[#This Row],[Client Program Name]],Table6[], 7, FALSE), VLOOKUP(HAF[[#This Row],[Client Program Name]],Table2[], 7, FALSE) )</f>
        <v>178</v>
      </c>
      <c r="L33" s="16">
        <v>34</v>
      </c>
      <c r="M33" s="16">
        <f>IF(ISNUMBER(MATCH(HAF[[#This Row],[Client Program Name]],Table6[Client Program],0)), VLOOKUP(HAF[[#This Row],[Client Program Name]],Table6[], 9, FALSE), 0 )</f>
        <v>34</v>
      </c>
      <c r="N33" s="16">
        <f>IF(ISNUMBER(MATCH(HAF[[#This Row],[Client Program Name]],Table6[Client Program],0)), VLOOKUP(HAF[[#This Row],[Client Program Name]],Table6[], 10, FALSE), VLOOKUP(HAF[[#This Row],[Client Program Name]],Table2[], 8, FALSE) )</f>
        <v>212</v>
      </c>
      <c r="O33" s="16">
        <v>514</v>
      </c>
      <c r="P33" s="3"/>
      <c r="Q33" s="14"/>
    </row>
    <row r="34" spans="1:17" x14ac:dyDescent="0.35">
      <c r="A34" s="14" t="s">
        <v>248</v>
      </c>
      <c r="B34" s="14" t="str">
        <f>IF(HAF[[#This Row],[Program]]="Housing Accelerator Fund", "Round One", "Round Two")</f>
        <v>Round One</v>
      </c>
      <c r="C34" s="14" t="s">
        <v>63</v>
      </c>
      <c r="D34" s="14" t="s">
        <v>32</v>
      </c>
      <c r="E34" s="14" t="s">
        <v>17</v>
      </c>
      <c r="F34" s="14" t="s">
        <v>11</v>
      </c>
      <c r="G34" s="15">
        <v>45315</v>
      </c>
      <c r="H34" s="15" t="str">
        <f>MID(HAF[[#This Row],[Client Program Name]], SEARCH( "-",HAF[[#This Row],[Client Program Name]])+1,LEN(HAF[[#This Row],[Client Program Name]])-(SEARCH( "-",HAF[[#This Row],[Client Program Name]])-1))</f>
        <v xml:space="preserve"> Sun Peaks Mountain Resort Municipality</v>
      </c>
      <c r="I34" s="16">
        <v>1525798.6</v>
      </c>
      <c r="J34" s="16">
        <f>IF(ISNUMBER(MATCH(HAF[[#This Row],[Client Program Name]],Table6[Client Program],0)), VLOOKUP(HAF[[#This Row],[Client Program Name]],Table6[], 6, FALSE), 0 )</f>
        <v>1525799</v>
      </c>
      <c r="K34" s="16">
        <f>IF(ISNUMBER(MATCH(HAF[[#This Row],[Client Program Name]],Table6[Client Program],0)), VLOOKUP(HAF[[#This Row],[Client Program Name]],Table6[], 7, FALSE), VLOOKUP(HAF[[#This Row],[Client Program Name]],Table2[], 7, FALSE) )</f>
        <v>248</v>
      </c>
      <c r="L34" s="16">
        <v>33</v>
      </c>
      <c r="M34" s="16">
        <f>IF(ISNUMBER(MATCH(HAF[[#This Row],[Client Program Name]],Table6[Client Program],0)), VLOOKUP(HAF[[#This Row],[Client Program Name]],Table6[], 9, FALSE), 0 )</f>
        <v>33</v>
      </c>
      <c r="N34" s="16">
        <f>IF(ISNUMBER(MATCH(HAF[[#This Row],[Client Program Name]],Table6[Client Program],0)), VLOOKUP(HAF[[#This Row],[Client Program Name]],Table6[], 10, FALSE), VLOOKUP(HAF[[#This Row],[Client Program Name]],Table2[], 8, FALSE) )</f>
        <v>281</v>
      </c>
      <c r="O34" s="16">
        <v>350</v>
      </c>
      <c r="P34" s="3"/>
      <c r="Q34" s="14"/>
    </row>
    <row r="35" spans="1:17" x14ac:dyDescent="0.35">
      <c r="A35" s="14" t="s">
        <v>248</v>
      </c>
      <c r="B35" s="14" t="str">
        <f>IF(HAF[[#This Row],[Program]]="Housing Accelerator Fund", "Round One", "Round Two")</f>
        <v>Round One</v>
      </c>
      <c r="C35" s="14" t="s">
        <v>68</v>
      </c>
      <c r="D35" s="14" t="s">
        <v>32</v>
      </c>
      <c r="E35" s="14" t="s">
        <v>17</v>
      </c>
      <c r="F35" s="14" t="s">
        <v>11</v>
      </c>
      <c r="G35" s="15">
        <v>45317</v>
      </c>
      <c r="H35" s="15" t="str">
        <f>MID(HAF[[#This Row],[Client Program Name]], SEARCH( "-",HAF[[#This Row],[Client Program Name]])+1,LEN(HAF[[#This Row],[Client Program Name]])-(SEARCH( "-",HAF[[#This Row],[Client Program Name]])-1))</f>
        <v xml:space="preserve"> Town of Gibsons</v>
      </c>
      <c r="I35" s="16">
        <v>2314142</v>
      </c>
      <c r="J35" s="16">
        <f>IF(ISNUMBER(MATCH(HAF[[#This Row],[Client Program Name]],Table6[Client Program],0)), VLOOKUP(HAF[[#This Row],[Client Program Name]],Table6[], 6, FALSE), 0 )</f>
        <v>2110142</v>
      </c>
      <c r="K35" s="16">
        <f>IF(ISNUMBER(MATCH(HAF[[#This Row],[Client Program Name]],Table6[Client Program],0)), VLOOKUP(HAF[[#This Row],[Client Program Name]],Table6[], 7, FALSE), VLOOKUP(HAF[[#This Row],[Client Program Name]],Table2[], 7, FALSE) )</f>
        <v>212</v>
      </c>
      <c r="L35" s="16">
        <v>62</v>
      </c>
      <c r="M35" s="16">
        <f>IF(ISNUMBER(MATCH(HAF[[#This Row],[Client Program Name]],Table6[Client Program],0)), VLOOKUP(HAF[[#This Row],[Client Program Name]],Table6[], 9, FALSE), 0 )</f>
        <v>58</v>
      </c>
      <c r="N35" s="16">
        <f>IF(ISNUMBER(MATCH(HAF[[#This Row],[Client Program Name]],Table6[Client Program],0)), VLOOKUP(HAF[[#This Row],[Client Program Name]],Table6[], 10, FALSE), VLOOKUP(HAF[[#This Row],[Client Program Name]],Table2[], 8, FALSE) )</f>
        <v>274</v>
      </c>
      <c r="O35" s="16">
        <v>980</v>
      </c>
      <c r="P35" s="3"/>
      <c r="Q35" s="14"/>
    </row>
    <row r="36" spans="1:17" x14ac:dyDescent="0.35">
      <c r="A36" s="14" t="s">
        <v>248</v>
      </c>
      <c r="B36" s="14" t="str">
        <f>IF(HAF[[#This Row],[Program]]="Housing Accelerator Fund", "Round One", "Round Two")</f>
        <v>Round One</v>
      </c>
      <c r="C36" s="14" t="s">
        <v>49</v>
      </c>
      <c r="D36" s="14" t="s">
        <v>32</v>
      </c>
      <c r="E36" s="14" t="s">
        <v>17</v>
      </c>
      <c r="F36" s="14" t="s">
        <v>11</v>
      </c>
      <c r="G36" s="15">
        <v>45308</v>
      </c>
      <c r="H36" s="15" t="str">
        <f>MID(HAF[[#This Row],[Client Program Name]], SEARCH( "-",HAF[[#This Row],[Client Program Name]])+1,LEN(HAF[[#This Row],[Client Program Name]])-(SEARCH( "-",HAF[[#This Row],[Client Program Name]])-1))</f>
        <v xml:space="preserve"> Duncan</v>
      </c>
      <c r="I36" s="16">
        <v>2637813.7999999998</v>
      </c>
      <c r="J36" s="16">
        <f>IF(ISNUMBER(MATCH(HAF[[#This Row],[Client Program Name]],Table6[Client Program],0)), VLOOKUP(HAF[[#This Row],[Client Program Name]],Table6[], 6, FALSE), 0 )</f>
        <v>2637814</v>
      </c>
      <c r="K36" s="16">
        <f>IF(ISNUMBER(MATCH(HAF[[#This Row],[Client Program Name]],Table6[Client Program],0)), VLOOKUP(HAF[[#This Row],[Client Program Name]],Table6[], 7, FALSE), VLOOKUP(HAF[[#This Row],[Client Program Name]],Table2[], 7, FALSE) )</f>
        <v>240</v>
      </c>
      <c r="L36" s="16">
        <v>73</v>
      </c>
      <c r="M36" s="16">
        <f>IF(ISNUMBER(MATCH(HAF[[#This Row],[Client Program Name]],Table6[Client Program],0)), VLOOKUP(HAF[[#This Row],[Client Program Name]],Table6[], 9, FALSE), 0 )</f>
        <v>73</v>
      </c>
      <c r="N36" s="16">
        <f>IF(ISNUMBER(MATCH(HAF[[#This Row],[Client Program Name]],Table6[Client Program],0)), VLOOKUP(HAF[[#This Row],[Client Program Name]],Table6[], 10, FALSE), VLOOKUP(HAF[[#This Row],[Client Program Name]],Table2[], 8, FALSE) )</f>
        <v>313</v>
      </c>
      <c r="O36" s="16">
        <v>1060</v>
      </c>
      <c r="P36" s="3"/>
      <c r="Q36" s="14"/>
    </row>
    <row r="37" spans="1:17" x14ac:dyDescent="0.35">
      <c r="A37" s="14" t="s">
        <v>248</v>
      </c>
      <c r="B37" s="14" t="str">
        <f>IF(HAF[[#This Row],[Program]]="Housing Accelerator Fund", "Round One", "Round Two")</f>
        <v>Round One</v>
      </c>
      <c r="C37" s="14" t="s">
        <v>77</v>
      </c>
      <c r="D37" s="14" t="s">
        <v>32</v>
      </c>
      <c r="E37" s="14" t="s">
        <v>17</v>
      </c>
      <c r="F37" s="14" t="s">
        <v>11</v>
      </c>
      <c r="G37" s="15">
        <v>45321</v>
      </c>
      <c r="H37" s="15" t="str">
        <f>MID(HAF[[#This Row],[Client Program Name]], SEARCH( "-",HAF[[#This Row],[Client Program Name]])+1,LEN(HAF[[#This Row],[Client Program Name]])-(SEARCH( "-",HAF[[#This Row],[Client Program Name]])-1))</f>
        <v xml:space="preserve"> Village of Pemberton</v>
      </c>
      <c r="I37" s="16">
        <v>2740376.6</v>
      </c>
      <c r="J37" s="16">
        <f>IF(ISNUMBER(MATCH(HAF[[#This Row],[Client Program Name]],Table6[Client Program],0)), VLOOKUP(HAF[[#This Row],[Client Program Name]],Table6[], 6, FALSE), 0 )</f>
        <v>2740377</v>
      </c>
      <c r="K37" s="16">
        <f>IF(ISNUMBER(MATCH(HAF[[#This Row],[Client Program Name]],Table6[Client Program],0)), VLOOKUP(HAF[[#This Row],[Client Program Name]],Table6[], 7, FALSE), VLOOKUP(HAF[[#This Row],[Client Program Name]],Table2[], 7, FALSE) )</f>
        <v>261</v>
      </c>
      <c r="L37" s="16">
        <v>98</v>
      </c>
      <c r="M37" s="16">
        <f>IF(ISNUMBER(MATCH(HAF[[#This Row],[Client Program Name]],Table6[Client Program],0)), VLOOKUP(HAF[[#This Row],[Client Program Name]],Table6[], 9, FALSE), 0 )</f>
        <v>98</v>
      </c>
      <c r="N37" s="16">
        <f>IF(ISNUMBER(MATCH(HAF[[#This Row],[Client Program Name]],Table6[Client Program],0)), VLOOKUP(HAF[[#This Row],[Client Program Name]],Table6[], 10, FALSE), VLOOKUP(HAF[[#This Row],[Client Program Name]],Table2[], 8, FALSE) )</f>
        <v>359</v>
      </c>
      <c r="O37" s="16">
        <v>1995</v>
      </c>
      <c r="P37" s="3"/>
      <c r="Q37" s="14"/>
    </row>
    <row r="38" spans="1:17" x14ac:dyDescent="0.35">
      <c r="A38" s="14" t="s">
        <v>248</v>
      </c>
      <c r="B38" s="14" t="str">
        <f>IF(HAF[[#This Row],[Program]]="Housing Accelerator Fund", "Round One", "Round Two")</f>
        <v>Round One</v>
      </c>
      <c r="C38" s="14" t="s">
        <v>78</v>
      </c>
      <c r="D38" s="14" t="s">
        <v>32</v>
      </c>
      <c r="E38" s="14" t="s">
        <v>17</v>
      </c>
      <c r="F38" s="14" t="s">
        <v>11</v>
      </c>
      <c r="G38" s="15">
        <v>45314</v>
      </c>
      <c r="H38" s="15" t="str">
        <f>MID(HAF[[#This Row],[Client Program Name]], SEARCH( "-",HAF[[#This Row],[Client Program Name]])+1,LEN(HAF[[#This Row],[Client Program Name]])-(SEARCH( "-",HAF[[#This Row],[Client Program Name]])-1))</f>
        <v xml:space="preserve"> Village of Radium Hot Springs</v>
      </c>
      <c r="I38" s="16">
        <v>613444.80000000005</v>
      </c>
      <c r="J38" s="16">
        <f>IF(ISNUMBER(MATCH(HAF[[#This Row],[Client Program Name]],Table6[Client Program],0)), VLOOKUP(HAF[[#This Row],[Client Program Name]],Table6[], 6, FALSE), 0 )</f>
        <v>613445</v>
      </c>
      <c r="K38" s="16">
        <f>IF(ISNUMBER(MATCH(HAF[[#This Row],[Client Program Name]],Table6[Client Program],0)), VLOOKUP(HAF[[#This Row],[Client Program Name]],Table6[], 7, FALSE), VLOOKUP(HAF[[#This Row],[Client Program Name]],Table2[], 7, FALSE) )</f>
        <v>31</v>
      </c>
      <c r="L38" s="16">
        <v>16</v>
      </c>
      <c r="M38" s="16">
        <f>IF(ISNUMBER(MATCH(HAF[[#This Row],[Client Program Name]],Table6[Client Program],0)), VLOOKUP(HAF[[#This Row],[Client Program Name]],Table6[], 9, FALSE), 0 )</f>
        <v>16</v>
      </c>
      <c r="N38" s="16">
        <f>IF(ISNUMBER(MATCH(HAF[[#This Row],[Client Program Name]],Table6[Client Program],0)), VLOOKUP(HAF[[#This Row],[Client Program Name]],Table6[], 10, FALSE), VLOOKUP(HAF[[#This Row],[Client Program Name]],Table2[], 8, FALSE) )</f>
        <v>47</v>
      </c>
      <c r="O38" s="16">
        <v>54</v>
      </c>
      <c r="P38" s="3"/>
      <c r="Q38" s="14"/>
    </row>
    <row r="39" spans="1:17" x14ac:dyDescent="0.35">
      <c r="A39" s="14" t="s">
        <v>248</v>
      </c>
      <c r="B39" s="14" t="str">
        <f>IF(HAF[[#This Row],[Program]]="Housing Accelerator Fund", "Round One", "Round Two")</f>
        <v>Round One</v>
      </c>
      <c r="C39" s="14" t="s">
        <v>70</v>
      </c>
      <c r="D39" s="14" t="s">
        <v>32</v>
      </c>
      <c r="E39" s="14" t="s">
        <v>17</v>
      </c>
      <c r="F39" s="14" t="s">
        <v>11</v>
      </c>
      <c r="G39" s="15">
        <v>45310</v>
      </c>
      <c r="H39" s="15" t="str">
        <f>MID(HAF[[#This Row],[Client Program Name]], SEARCH( "-",HAF[[#This Row],[Client Program Name]])+1,LEN(HAF[[#This Row],[Client Program Name]])-(SEARCH( "-",HAF[[#This Row],[Client Program Name]])-1))</f>
        <v xml:space="preserve"> Town of Lake Cowichan</v>
      </c>
      <c r="I39" s="16">
        <v>885750</v>
      </c>
      <c r="J39" s="16">
        <f>IF(ISNUMBER(MATCH(HAF[[#This Row],[Client Program Name]],Table6[Client Program],0)), VLOOKUP(HAF[[#This Row],[Client Program Name]],Table6[], 6, FALSE), 0 )</f>
        <v>885750</v>
      </c>
      <c r="K39" s="16">
        <f>IF(ISNUMBER(MATCH(HAF[[#This Row],[Client Program Name]],Table6[Client Program],0)), VLOOKUP(HAF[[#This Row],[Client Program Name]],Table6[], 7, FALSE), VLOOKUP(HAF[[#This Row],[Client Program Name]],Table2[], 7, FALSE) )</f>
        <v>75</v>
      </c>
      <c r="L39" s="16">
        <v>20</v>
      </c>
      <c r="M39" s="16">
        <f>IF(ISNUMBER(MATCH(HAF[[#This Row],[Client Program Name]],Table6[Client Program],0)), VLOOKUP(HAF[[#This Row],[Client Program Name]],Table6[], 9, FALSE), 0 )</f>
        <v>20</v>
      </c>
      <c r="N39" s="16">
        <f>IF(ISNUMBER(MATCH(HAF[[#This Row],[Client Program Name]],Table6[Client Program],0)), VLOOKUP(HAF[[#This Row],[Client Program Name]],Table6[], 10, FALSE), VLOOKUP(HAF[[#This Row],[Client Program Name]],Table2[], 8, FALSE) )</f>
        <v>95</v>
      </c>
      <c r="O39" s="16">
        <v>75</v>
      </c>
      <c r="P39" s="3"/>
      <c r="Q39" s="14"/>
    </row>
    <row r="40" spans="1:17" x14ac:dyDescent="0.35">
      <c r="A40" s="14" t="s">
        <v>248</v>
      </c>
      <c r="B40" s="14" t="str">
        <f>IF(HAF[[#This Row],[Program]]="Housing Accelerator Fund", "Round One", "Round Two")</f>
        <v>Round One</v>
      </c>
      <c r="C40" s="14" t="s">
        <v>37</v>
      </c>
      <c r="D40" s="14" t="s">
        <v>32</v>
      </c>
      <c r="E40" s="14" t="s">
        <v>17</v>
      </c>
      <c r="F40" s="14" t="s">
        <v>11</v>
      </c>
      <c r="G40" s="15">
        <v>45321</v>
      </c>
      <c r="H40" s="15" t="str">
        <f>MID(HAF[[#This Row],[Client Program Name]], SEARCH( "-",HAF[[#This Row],[Client Program Name]])+1,LEN(HAF[[#This Row],[Client Program Name]])-(SEARCH( "-",HAF[[#This Row],[Client Program Name]])-1))</f>
        <v xml:space="preserve"> Bowen Island Municipality</v>
      </c>
      <c r="I40" s="16">
        <v>1812000</v>
      </c>
      <c r="J40" s="16">
        <f>IF(ISNUMBER(MATCH(HAF[[#This Row],[Client Program Name]],Table6[Client Program],0)), VLOOKUP(HAF[[#This Row],[Client Program Name]],Table6[], 6, FALSE), 0 )</f>
        <v>1652000</v>
      </c>
      <c r="K40" s="16">
        <f>IF(ISNUMBER(MATCH(HAF[[#This Row],[Client Program Name]],Table6[Client Program],0)), VLOOKUP(HAF[[#This Row],[Client Program Name]],Table6[], 7, FALSE), VLOOKUP(HAF[[#This Row],[Client Program Name]],Table2[], 7, FALSE) )</f>
        <v>105</v>
      </c>
      <c r="L40" s="16">
        <v>40</v>
      </c>
      <c r="M40" s="16">
        <f>IF(ISNUMBER(MATCH(HAF[[#This Row],[Client Program Name]],Table6[Client Program],0)), VLOOKUP(HAF[[#This Row],[Client Program Name]],Table6[], 9, FALSE), 0 )</f>
        <v>35</v>
      </c>
      <c r="N40" s="16">
        <f>IF(ISNUMBER(MATCH(HAF[[#This Row],[Client Program Name]],Table6[Client Program],0)), VLOOKUP(HAF[[#This Row],[Client Program Name]],Table6[], 10, FALSE), VLOOKUP(HAF[[#This Row],[Client Program Name]],Table2[], 8, FALSE) )</f>
        <v>145</v>
      </c>
      <c r="O40" s="16">
        <v>149</v>
      </c>
      <c r="P40" s="3"/>
      <c r="Q40" s="14"/>
    </row>
    <row r="41" spans="1:17" x14ac:dyDescent="0.35">
      <c r="A41" s="14" t="s">
        <v>248</v>
      </c>
      <c r="B41" s="14" t="str">
        <f>IF(HAF[[#This Row],[Program]]="Housing Accelerator Fund", "Round One", "Round Two")</f>
        <v>Round One</v>
      </c>
      <c r="C41" s="14" t="s">
        <v>47</v>
      </c>
      <c r="D41" s="14" t="s">
        <v>32</v>
      </c>
      <c r="E41" s="14" t="s">
        <v>17</v>
      </c>
      <c r="F41" s="14" t="s">
        <v>11</v>
      </c>
      <c r="G41" s="15">
        <v>45316</v>
      </c>
      <c r="H41" s="15" t="str">
        <f>MID(HAF[[#This Row],[Client Program Name]], SEARCH( "-",HAF[[#This Row],[Client Program Name]])+1,LEN(HAF[[#This Row],[Client Program Name]])-(SEARCH( "-",HAF[[#This Row],[Client Program Name]])-1))</f>
        <v xml:space="preserve"> District of Ucluelet</v>
      </c>
      <c r="I41" s="16">
        <v>2095292.5</v>
      </c>
      <c r="J41" s="16">
        <f>IF(ISNUMBER(MATCH(HAF[[#This Row],[Client Program Name]],Table6[Client Program],0)), VLOOKUP(HAF[[#This Row],[Client Program Name]],Table6[], 6, FALSE), 0 )</f>
        <v>2095293</v>
      </c>
      <c r="K41" s="16">
        <f>IF(ISNUMBER(MATCH(HAF[[#This Row],[Client Program Name]],Table6[Client Program],0)), VLOOKUP(HAF[[#This Row],[Client Program Name]],Table6[], 7, FALSE), VLOOKUP(HAF[[#This Row],[Client Program Name]],Table2[], 7, FALSE) )</f>
        <v>100</v>
      </c>
      <c r="L41" s="16">
        <v>65</v>
      </c>
      <c r="M41" s="16">
        <f>IF(ISNUMBER(MATCH(HAF[[#This Row],[Client Program Name]],Table6[Client Program],0)), VLOOKUP(HAF[[#This Row],[Client Program Name]],Table6[], 9, FALSE), 0 )</f>
        <v>65</v>
      </c>
      <c r="N41" s="16">
        <f>IF(ISNUMBER(MATCH(HAF[[#This Row],[Client Program Name]],Table6[Client Program],0)), VLOOKUP(HAF[[#This Row],[Client Program Name]],Table6[], 10, FALSE), VLOOKUP(HAF[[#This Row],[Client Program Name]],Table2[], 8, FALSE) )</f>
        <v>165</v>
      </c>
      <c r="O41" s="16">
        <v>918</v>
      </c>
      <c r="P41" s="3"/>
      <c r="Q41" s="14"/>
    </row>
    <row r="42" spans="1:17" x14ac:dyDescent="0.35">
      <c r="A42" s="14" t="s">
        <v>248</v>
      </c>
      <c r="B42" s="14" t="str">
        <f>IF(HAF[[#This Row],[Program]]="Housing Accelerator Fund", "Round One", "Round Two")</f>
        <v>Round One</v>
      </c>
      <c r="C42" s="14" t="s">
        <v>34</v>
      </c>
      <c r="D42" s="14" t="s">
        <v>32</v>
      </c>
      <c r="E42" s="14" t="s">
        <v>17</v>
      </c>
      <c r="F42" s="14" t="s">
        <v>18</v>
      </c>
      <c r="G42" s="15">
        <v>45281</v>
      </c>
      <c r="H42" s="15" t="str">
        <f>MID(HAF[[#This Row],[Client Program Name]], SEARCH( "-",HAF[[#This Row],[Client Program Name]])+1,LEN(HAF[[#This Row],[Client Program Name]])-(SEARCH( "-",HAF[[#This Row],[Client Program Name]])-1))</f>
        <v xml:space="preserve"> Aitchelitz First Nation</v>
      </c>
      <c r="I42" s="16">
        <v>280520</v>
      </c>
      <c r="J42" s="16">
        <f>IF(ISNUMBER(MATCH(HAF[[#This Row],[Client Program Name]],Table6[Client Program],0)), VLOOKUP(HAF[[#This Row],[Client Program Name]],Table6[], 6, FALSE), 0 )</f>
        <v>280520</v>
      </c>
      <c r="K42" s="16">
        <f>IF(ISNUMBER(MATCH(HAF[[#This Row],[Client Program Name]],Table6[Client Program],0)), VLOOKUP(HAF[[#This Row],[Client Program Name]],Table6[], 7, FALSE), VLOOKUP(HAF[[#This Row],[Client Program Name]],Table2[], 7, FALSE) )</f>
        <v>4</v>
      </c>
      <c r="L42" s="16">
        <v>5</v>
      </c>
      <c r="M42" s="16">
        <f>IF(ISNUMBER(MATCH(HAF[[#This Row],[Client Program Name]],Table6[Client Program],0)), VLOOKUP(HAF[[#This Row],[Client Program Name]],Table6[], 9, FALSE), 0 )</f>
        <v>5</v>
      </c>
      <c r="N42" s="16">
        <f>IF(ISNUMBER(MATCH(HAF[[#This Row],[Client Program Name]],Table6[Client Program],0)), VLOOKUP(HAF[[#This Row],[Client Program Name]],Table6[], 10, FALSE), VLOOKUP(HAF[[#This Row],[Client Program Name]],Table2[], 8, FALSE) )</f>
        <v>9</v>
      </c>
      <c r="O42" s="16">
        <v>22</v>
      </c>
      <c r="P42" s="3"/>
      <c r="Q42" s="14"/>
    </row>
    <row r="43" spans="1:17" x14ac:dyDescent="0.35">
      <c r="A43" s="14" t="s">
        <v>248</v>
      </c>
      <c r="B43" s="14" t="str">
        <f>IF(HAF[[#This Row],[Program]]="Housing Accelerator Fund", "Round One", "Round Two")</f>
        <v>Round One</v>
      </c>
      <c r="C43" s="14" t="s">
        <v>72</v>
      </c>
      <c r="D43" s="14" t="s">
        <v>32</v>
      </c>
      <c r="E43" s="14" t="s">
        <v>17</v>
      </c>
      <c r="F43" s="14" t="s">
        <v>18</v>
      </c>
      <c r="G43" s="15">
        <v>45314</v>
      </c>
      <c r="H43" s="15" t="str">
        <f>MID(HAF[[#This Row],[Client Program Name]], SEARCH( "-",HAF[[#This Row],[Client Program Name]])+1,LEN(HAF[[#This Row],[Client Program Name]])-(SEARCH( "-",HAF[[#This Row],[Client Program Name]])-1))</f>
        <v xml:space="preserve"> Tsawwassen First Nation</v>
      </c>
      <c r="I43" s="16">
        <v>2764000</v>
      </c>
      <c r="J43" s="16">
        <f>IF(ISNUMBER(MATCH(HAF[[#This Row],[Client Program Name]],Table6[Client Program],0)), VLOOKUP(HAF[[#This Row],[Client Program Name]],Table6[], 6, FALSE), 0 )</f>
        <v>2480000</v>
      </c>
      <c r="K43" s="16">
        <f>IF(ISNUMBER(MATCH(HAF[[#This Row],[Client Program Name]],Table6[Client Program],0)), VLOOKUP(HAF[[#This Row],[Client Program Name]],Table6[], 7, FALSE), VLOOKUP(HAF[[#This Row],[Client Program Name]],Table2[], 7, FALSE) )</f>
        <v>18</v>
      </c>
      <c r="L43" s="16">
        <v>46</v>
      </c>
      <c r="M43" s="16">
        <f>IF(ISNUMBER(MATCH(HAF[[#This Row],[Client Program Name]],Table6[Client Program],0)), VLOOKUP(HAF[[#This Row],[Client Program Name]],Table6[], 9, FALSE), 0 )</f>
        <v>42</v>
      </c>
      <c r="N43" s="16">
        <f>IF(ISNUMBER(MATCH(HAF[[#This Row],[Client Program Name]],Table6[Client Program],0)), VLOOKUP(HAF[[#This Row],[Client Program Name]],Table6[], 10, FALSE), VLOOKUP(HAF[[#This Row],[Client Program Name]],Table2[], 8, FALSE) )</f>
        <v>64</v>
      </c>
      <c r="O43" s="16">
        <v>270</v>
      </c>
      <c r="P43" s="3"/>
      <c r="Q43" s="14"/>
    </row>
    <row r="44" spans="1:17" x14ac:dyDescent="0.35">
      <c r="A44" s="14" t="s">
        <v>248</v>
      </c>
      <c r="B44" s="14" t="str">
        <f>IF(HAF[[#This Row],[Program]]="Housing Accelerator Fund", "Round One", "Round Two")</f>
        <v>Round One</v>
      </c>
      <c r="C44" s="14" t="s">
        <v>73</v>
      </c>
      <c r="D44" s="14" t="s">
        <v>32</v>
      </c>
      <c r="E44" s="14" t="s">
        <v>17</v>
      </c>
      <c r="F44" s="14" t="s">
        <v>18</v>
      </c>
      <c r="G44" s="15">
        <v>45294</v>
      </c>
      <c r="H44" s="15" t="str">
        <f>MID(HAF[[#This Row],[Client Program Name]], SEARCH( "-",HAF[[#This Row],[Client Program Name]])+1,LEN(HAF[[#This Row],[Client Program Name]])-(SEARCH( "-",HAF[[#This Row],[Client Program Name]])-1))</f>
        <v xml:space="preserve"> Ulkatcho First Nation</v>
      </c>
      <c r="I44" s="16">
        <v>455000</v>
      </c>
      <c r="J44" s="16">
        <f>IF(ISNUMBER(MATCH(HAF[[#This Row],[Client Program Name]],Table6[Client Program],0)), VLOOKUP(HAF[[#This Row],[Client Program Name]],Table6[], 6, FALSE), 0 )</f>
        <v>455000</v>
      </c>
      <c r="K44" s="16">
        <f>IF(ISNUMBER(MATCH(HAF[[#This Row],[Client Program Name]],Table6[Client Program],0)), VLOOKUP(HAF[[#This Row],[Client Program Name]],Table6[], 7, FALSE), VLOOKUP(HAF[[#This Row],[Client Program Name]],Table2[], 7, FALSE) )</f>
        <v>4</v>
      </c>
      <c r="L44" s="16">
        <v>7</v>
      </c>
      <c r="M44" s="16">
        <f>IF(ISNUMBER(MATCH(HAF[[#This Row],[Client Program Name]],Table6[Client Program],0)), VLOOKUP(HAF[[#This Row],[Client Program Name]],Table6[], 9, FALSE), 0 )</f>
        <v>7</v>
      </c>
      <c r="N44" s="16">
        <f>IF(ISNUMBER(MATCH(HAF[[#This Row],[Client Program Name]],Table6[Client Program],0)), VLOOKUP(HAF[[#This Row],[Client Program Name]],Table6[], 10, FALSE), VLOOKUP(HAF[[#This Row],[Client Program Name]],Table2[], 8, FALSE) )</f>
        <v>11</v>
      </c>
      <c r="O44" s="16">
        <v>74</v>
      </c>
      <c r="P44" s="3"/>
      <c r="Q44" s="14"/>
    </row>
    <row r="45" spans="1:17" x14ac:dyDescent="0.35">
      <c r="A45" s="14" t="s">
        <v>248</v>
      </c>
      <c r="B45" s="14" t="str">
        <f>IF(HAF[[#This Row],[Program]]="Housing Accelerator Fund", "Round One", "Round Two")</f>
        <v>Round One</v>
      </c>
      <c r="C45" s="14" t="s">
        <v>55</v>
      </c>
      <c r="D45" s="14" t="s">
        <v>32</v>
      </c>
      <c r="E45" s="14" t="s">
        <v>17</v>
      </c>
      <c r="F45" s="14" t="s">
        <v>18</v>
      </c>
      <c r="G45" s="15">
        <v>45302</v>
      </c>
      <c r="H45" s="15" t="str">
        <f>MID(HAF[[#This Row],[Client Program Name]], SEARCH( "-",HAF[[#This Row],[Client Program Name]])+1,LEN(HAF[[#This Row],[Client Program Name]])-(SEARCH( "-",HAF[[#This Row],[Client Program Name]])-1))</f>
        <v xml:space="preserve"> Lheidli T'enneh First Nation</v>
      </c>
      <c r="I45" s="16">
        <v>757000</v>
      </c>
      <c r="J45" s="16">
        <f>IF(ISNUMBER(MATCH(HAF[[#This Row],[Client Program Name]],Table6[Client Program],0)), VLOOKUP(HAF[[#This Row],[Client Program Name]],Table6[], 6, FALSE), 0 )</f>
        <v>757000</v>
      </c>
      <c r="K45" s="16">
        <f>IF(ISNUMBER(MATCH(HAF[[#This Row],[Client Program Name]],Table6[Client Program],0)), VLOOKUP(HAF[[#This Row],[Client Program Name]],Table6[], 7, FALSE), VLOOKUP(HAF[[#This Row],[Client Program Name]],Table2[], 7, FALSE) )</f>
        <v>1</v>
      </c>
      <c r="L45" s="16">
        <v>11</v>
      </c>
      <c r="M45" s="16">
        <f>IF(ISNUMBER(MATCH(HAF[[#This Row],[Client Program Name]],Table6[Client Program],0)), VLOOKUP(HAF[[#This Row],[Client Program Name]],Table6[], 9, FALSE), 0 )</f>
        <v>11</v>
      </c>
      <c r="N45" s="16">
        <f>IF(ISNUMBER(MATCH(HAF[[#This Row],[Client Program Name]],Table6[Client Program],0)), VLOOKUP(HAF[[#This Row],[Client Program Name]],Table6[], 10, FALSE), VLOOKUP(HAF[[#This Row],[Client Program Name]],Table2[], 8, FALSE) )</f>
        <v>12</v>
      </c>
      <c r="O45" s="16">
        <v>225</v>
      </c>
      <c r="P45" s="3"/>
      <c r="Q45" s="14"/>
    </row>
    <row r="46" spans="1:17" x14ac:dyDescent="0.35">
      <c r="A46" s="14" t="s">
        <v>248</v>
      </c>
      <c r="B46" s="14" t="str">
        <f>IF(HAF[[#This Row],[Program]]="Housing Accelerator Fund", "Round One", "Round Two")</f>
        <v>Round One</v>
      </c>
      <c r="C46" s="14" t="s">
        <v>53</v>
      </c>
      <c r="D46" s="14" t="s">
        <v>32</v>
      </c>
      <c r="E46" s="14" t="s">
        <v>17</v>
      </c>
      <c r="F46" s="14" t="s">
        <v>18</v>
      </c>
      <c r="G46" s="15">
        <v>45280</v>
      </c>
      <c r="H46" s="15" t="str">
        <f>MID(HAF[[#This Row],[Client Program Name]], SEARCH( "-",HAF[[#This Row],[Client Program Name]])+1,LEN(HAF[[#This Row],[Client Program Name]])-(SEARCH( "-",HAF[[#This Row],[Client Program Name]])-1))</f>
        <v xml:space="preserve"> Kitasoo Xai'xais Nation</v>
      </c>
      <c r="I46" s="16">
        <v>1089122.3</v>
      </c>
      <c r="J46" s="16">
        <f>IF(ISNUMBER(MATCH(HAF[[#This Row],[Client Program Name]],Table6[Client Program],0)), VLOOKUP(HAF[[#This Row],[Client Program Name]],Table6[], 6, FALSE), 0 )</f>
        <v>1089122</v>
      </c>
      <c r="K46" s="16">
        <f>IF(ISNUMBER(MATCH(HAF[[#This Row],[Client Program Name]],Table6[Client Program],0)), VLOOKUP(HAF[[#This Row],[Client Program Name]],Table6[], 7, FALSE), VLOOKUP(HAF[[#This Row],[Client Program Name]],Table2[], 7, FALSE) )</f>
        <v>16</v>
      </c>
      <c r="L46" s="16">
        <v>21</v>
      </c>
      <c r="M46" s="16">
        <f>IF(ISNUMBER(MATCH(HAF[[#This Row],[Client Program Name]],Table6[Client Program],0)), VLOOKUP(HAF[[#This Row],[Client Program Name]],Table6[], 9, FALSE), 0 )</f>
        <v>21</v>
      </c>
      <c r="N46" s="16">
        <f>IF(ISNUMBER(MATCH(HAF[[#This Row],[Client Program Name]],Table6[Client Program],0)), VLOOKUP(HAF[[#This Row],[Client Program Name]],Table6[], 10, FALSE), VLOOKUP(HAF[[#This Row],[Client Program Name]],Table2[], 8, FALSE) )</f>
        <v>37</v>
      </c>
      <c r="O46" s="16">
        <v>122</v>
      </c>
      <c r="P46" s="3"/>
      <c r="Q46" s="14"/>
    </row>
    <row r="47" spans="1:17" x14ac:dyDescent="0.35">
      <c r="A47" s="14" t="s">
        <v>248</v>
      </c>
      <c r="B47" s="14" t="str">
        <f>IF(HAF[[#This Row],[Program]]="Housing Accelerator Fund", "Round One", "Round Two")</f>
        <v>Round One</v>
      </c>
      <c r="C47" s="14" t="s">
        <v>36</v>
      </c>
      <c r="D47" s="14" t="s">
        <v>32</v>
      </c>
      <c r="E47" s="14" t="s">
        <v>17</v>
      </c>
      <c r="F47" s="14" t="s">
        <v>18</v>
      </c>
      <c r="G47" s="15">
        <v>45295</v>
      </c>
      <c r="H47" s="15" t="str">
        <f>MID(HAF[[#This Row],[Client Program Name]], SEARCH( "-",HAF[[#This Row],[Client Program Name]])+1,LEN(HAF[[#This Row],[Client Program Name]])-(SEARCH( "-",HAF[[#This Row],[Client Program Name]])-1))</f>
        <v xml:space="preserve"> Boston Bar First Nation</v>
      </c>
      <c r="I47" s="16">
        <v>520000</v>
      </c>
      <c r="J47" s="16">
        <f>IF(ISNUMBER(MATCH(HAF[[#This Row],[Client Program Name]],Table6[Client Program],0)), VLOOKUP(HAF[[#This Row],[Client Program Name]],Table6[], 6, FALSE), 0 )</f>
        <v>520000</v>
      </c>
      <c r="K47" s="16">
        <f>IF(ISNUMBER(MATCH(HAF[[#This Row],[Client Program Name]],Table6[Client Program],0)), VLOOKUP(HAF[[#This Row],[Client Program Name]],Table6[], 7, FALSE), VLOOKUP(HAF[[#This Row],[Client Program Name]],Table2[], 7, FALSE) )</f>
        <v>0</v>
      </c>
      <c r="L47" s="16">
        <v>8</v>
      </c>
      <c r="M47" s="16">
        <f>IF(ISNUMBER(MATCH(HAF[[#This Row],[Client Program Name]],Table6[Client Program],0)), VLOOKUP(HAF[[#This Row],[Client Program Name]],Table6[], 9, FALSE), 0 )</f>
        <v>8</v>
      </c>
      <c r="N47" s="16">
        <f>IF(ISNUMBER(MATCH(HAF[[#This Row],[Client Program Name]],Table6[Client Program],0)), VLOOKUP(HAF[[#This Row],[Client Program Name]],Table6[], 10, FALSE), VLOOKUP(HAF[[#This Row],[Client Program Name]],Table2[], 8, FALSE) )</f>
        <v>8</v>
      </c>
      <c r="O47" s="16">
        <v>65</v>
      </c>
      <c r="P47" s="3"/>
      <c r="Q47" s="14"/>
    </row>
    <row r="48" spans="1:17" x14ac:dyDescent="0.35">
      <c r="A48" s="14" t="s">
        <v>248</v>
      </c>
      <c r="B48" s="14" t="str">
        <f>IF(HAF[[#This Row],[Program]]="Housing Accelerator Fund", "Round One", "Round Two")</f>
        <v>Round One</v>
      </c>
      <c r="C48" s="14" t="s">
        <v>60</v>
      </c>
      <c r="D48" s="14" t="s">
        <v>32</v>
      </c>
      <c r="E48" s="14" t="s">
        <v>17</v>
      </c>
      <c r="F48" s="14" t="s">
        <v>18</v>
      </c>
      <c r="G48" s="15">
        <v>45289</v>
      </c>
      <c r="H48" s="15" t="str">
        <f>MID(HAF[[#This Row],[Client Program Name]], SEARCH( "-",HAF[[#This Row],[Client Program Name]])+1,LEN(HAF[[#This Row],[Client Program Name]])-(SEARCH( "-",HAF[[#This Row],[Client Program Name]])-1))</f>
        <v xml:space="preserve"> Seabird Island Band</v>
      </c>
      <c r="I48" s="16">
        <v>2992000</v>
      </c>
      <c r="J48" s="16">
        <f>IF(ISNUMBER(MATCH(HAF[[#This Row],[Client Program Name]],Table6[Client Program],0)), VLOOKUP(HAF[[#This Row],[Client Program Name]],Table6[], 6, FALSE), 0 )</f>
        <v>2992000</v>
      </c>
      <c r="K48" s="16">
        <f>IF(ISNUMBER(MATCH(HAF[[#This Row],[Client Program Name]],Table6[Client Program],0)), VLOOKUP(HAF[[#This Row],[Client Program Name]],Table6[], 7, FALSE), VLOOKUP(HAF[[#This Row],[Client Program Name]],Table2[], 7, FALSE) )</f>
        <v>10</v>
      </c>
      <c r="L48" s="16">
        <v>50</v>
      </c>
      <c r="M48" s="16">
        <f>IF(ISNUMBER(MATCH(HAF[[#This Row],[Client Program Name]],Table6[Client Program],0)), VLOOKUP(HAF[[#This Row],[Client Program Name]],Table6[], 9, FALSE), 0 )</f>
        <v>50</v>
      </c>
      <c r="N48" s="16">
        <f>IF(ISNUMBER(MATCH(HAF[[#This Row],[Client Program Name]],Table6[Client Program],0)), VLOOKUP(HAF[[#This Row],[Client Program Name]],Table6[], 10, FALSE), VLOOKUP(HAF[[#This Row],[Client Program Name]],Table2[], 8, FALSE) )</f>
        <v>60</v>
      </c>
      <c r="O48" s="16">
        <v>251</v>
      </c>
      <c r="P48" s="3"/>
      <c r="Q48" s="14"/>
    </row>
    <row r="49" spans="1:17" x14ac:dyDescent="0.35">
      <c r="A49" s="14" t="s">
        <v>248</v>
      </c>
      <c r="B49" s="14" t="str">
        <f>IF(HAF[[#This Row],[Program]]="Housing Accelerator Fund", "Round One", "Round Two")</f>
        <v>Round One</v>
      </c>
      <c r="C49" s="14" t="s">
        <v>62</v>
      </c>
      <c r="D49" s="14" t="s">
        <v>32</v>
      </c>
      <c r="E49" s="14" t="s">
        <v>17</v>
      </c>
      <c r="F49" s="14" t="s">
        <v>18</v>
      </c>
      <c r="G49" s="15">
        <v>45281</v>
      </c>
      <c r="H49" s="15" t="str">
        <f>MID(HAF[[#This Row],[Client Program Name]], SEARCH( "-",HAF[[#This Row],[Client Program Name]])+1,LEN(HAF[[#This Row],[Client Program Name]])-(SEARCH( "-",HAF[[#This Row],[Client Program Name]])-1))</f>
        <v xml:space="preserve"> Skowkale First Nation</v>
      </c>
      <c r="I49" s="16">
        <v>368000</v>
      </c>
      <c r="J49" s="16">
        <f>IF(ISNUMBER(MATCH(HAF[[#This Row],[Client Program Name]],Table6[Client Program],0)), VLOOKUP(HAF[[#This Row],[Client Program Name]],Table6[], 6, FALSE), 0 )</f>
        <v>368000</v>
      </c>
      <c r="K49" s="16">
        <f>IF(ISNUMBER(MATCH(HAF[[#This Row],[Client Program Name]],Table6[Client Program],0)), VLOOKUP(HAF[[#This Row],[Client Program Name]],Table6[], 7, FALSE), VLOOKUP(HAF[[#This Row],[Client Program Name]],Table2[], 7, FALSE) )</f>
        <v>4</v>
      </c>
      <c r="L49" s="16">
        <v>6</v>
      </c>
      <c r="M49" s="16">
        <f>IF(ISNUMBER(MATCH(HAF[[#This Row],[Client Program Name]],Table6[Client Program],0)), VLOOKUP(HAF[[#This Row],[Client Program Name]],Table6[], 9, FALSE), 0 )</f>
        <v>6</v>
      </c>
      <c r="N49" s="16">
        <f>IF(ISNUMBER(MATCH(HAF[[#This Row],[Client Program Name]],Table6[Client Program],0)), VLOOKUP(HAF[[#This Row],[Client Program Name]],Table6[], 10, FALSE), VLOOKUP(HAF[[#This Row],[Client Program Name]],Table2[], 8, FALSE) )</f>
        <v>10</v>
      </c>
      <c r="O49" s="16">
        <v>24</v>
      </c>
      <c r="P49" s="3"/>
      <c r="Q49" s="14"/>
    </row>
    <row r="50" spans="1:17" x14ac:dyDescent="0.35">
      <c r="A50" s="14" t="s">
        <v>248</v>
      </c>
      <c r="B50" s="14" t="str">
        <f>IF(HAF[[#This Row],[Program]]="Housing Accelerator Fund", "Round One", "Round Two")</f>
        <v>Round One</v>
      </c>
      <c r="C50" s="14" t="s">
        <v>79</v>
      </c>
      <c r="D50" s="14" t="s">
        <v>32</v>
      </c>
      <c r="E50" s="14" t="s">
        <v>17</v>
      </c>
      <c r="F50" s="14" t="s">
        <v>18</v>
      </c>
      <c r="G50" s="15">
        <v>45281</v>
      </c>
      <c r="H50" s="15" t="str">
        <f>MID(HAF[[#This Row],[Client Program Name]], SEARCH( "-",HAF[[#This Row],[Client Program Name]])+1,LEN(HAF[[#This Row],[Client Program Name]])-(SEARCH( "-",HAF[[#This Row],[Client Program Name]])-1))</f>
        <v xml:space="preserve"> Yakweakwioose First Nation</v>
      </c>
      <c r="I50" s="16">
        <v>208000</v>
      </c>
      <c r="J50" s="16">
        <f>IF(ISNUMBER(MATCH(HAF[[#This Row],[Client Program Name]],Table6[Client Program],0)), VLOOKUP(HAF[[#This Row],[Client Program Name]],Table6[], 6, FALSE), 0 )</f>
        <v>208000</v>
      </c>
      <c r="K50" s="16">
        <f>IF(ISNUMBER(MATCH(HAF[[#This Row],[Client Program Name]],Table6[Client Program],0)), VLOOKUP(HAF[[#This Row],[Client Program Name]],Table6[], 7, FALSE), VLOOKUP(HAF[[#This Row],[Client Program Name]],Table2[], 7, FALSE) )</f>
        <v>4</v>
      </c>
      <c r="L50" s="16">
        <v>4</v>
      </c>
      <c r="M50" s="16">
        <f>IF(ISNUMBER(MATCH(HAF[[#This Row],[Client Program Name]],Table6[Client Program],0)), VLOOKUP(HAF[[#This Row],[Client Program Name]],Table6[], 9, FALSE), 0 )</f>
        <v>4</v>
      </c>
      <c r="N50" s="16">
        <f>IF(ISNUMBER(MATCH(HAF[[#This Row],[Client Program Name]],Table6[Client Program],0)), VLOOKUP(HAF[[#This Row],[Client Program Name]],Table6[], 10, FALSE), VLOOKUP(HAF[[#This Row],[Client Program Name]],Table2[], 8, FALSE) )</f>
        <v>8</v>
      </c>
      <c r="O50" s="16">
        <v>17</v>
      </c>
      <c r="P50" s="3"/>
      <c r="Q50" s="14"/>
    </row>
    <row r="51" spans="1:17" x14ac:dyDescent="0.35">
      <c r="A51" s="14" t="s">
        <v>248</v>
      </c>
      <c r="B51" s="14" t="str">
        <f>IF(HAF[[#This Row],[Program]]="Housing Accelerator Fund", "Round One", "Round Two")</f>
        <v>Round One</v>
      </c>
      <c r="C51" s="14" t="s">
        <v>56</v>
      </c>
      <c r="D51" s="14" t="s">
        <v>32</v>
      </c>
      <c r="E51" s="14" t="s">
        <v>17</v>
      </c>
      <c r="F51" s="14" t="s">
        <v>18</v>
      </c>
      <c r="G51" s="15">
        <v>45279</v>
      </c>
      <c r="H51" s="15" t="str">
        <f>MID(HAF[[#This Row],[Client Program Name]], SEARCH( "-",HAF[[#This Row],[Client Program Name]])+1,LEN(HAF[[#This Row],[Client Program Name]])-(SEARCH( "-",HAF[[#This Row],[Client Program Name]])-1))</f>
        <v xml:space="preserve"> Lytton First Nation</v>
      </c>
      <c r="I51" s="16">
        <v>1396000</v>
      </c>
      <c r="J51" s="16">
        <f>IF(ISNUMBER(MATCH(HAF[[#This Row],[Client Program Name]],Table6[Client Program],0)), VLOOKUP(HAF[[#This Row],[Client Program Name]],Table6[], 6, FALSE), 0 )</f>
        <v>1396000</v>
      </c>
      <c r="K51" s="16">
        <f>IF(ISNUMBER(MATCH(HAF[[#This Row],[Client Program Name]],Table6[Client Program],0)), VLOOKUP(HAF[[#This Row],[Client Program Name]],Table6[], 7, FALSE), VLOOKUP(HAF[[#This Row],[Client Program Name]],Table2[], 7, FALSE) )</f>
        <v>6</v>
      </c>
      <c r="L51" s="16">
        <v>20</v>
      </c>
      <c r="M51" s="16">
        <f>IF(ISNUMBER(MATCH(HAF[[#This Row],[Client Program Name]],Table6[Client Program],0)), VLOOKUP(HAF[[#This Row],[Client Program Name]],Table6[], 9, FALSE), 0 )</f>
        <v>20</v>
      </c>
      <c r="N51" s="16">
        <f>IF(ISNUMBER(MATCH(HAF[[#This Row],[Client Program Name]],Table6[Client Program],0)), VLOOKUP(HAF[[#This Row],[Client Program Name]],Table6[], 10, FALSE), VLOOKUP(HAF[[#This Row],[Client Program Name]],Table2[], 8, FALSE) )</f>
        <v>26</v>
      </c>
      <c r="O51" s="16">
        <v>176</v>
      </c>
      <c r="P51" s="3"/>
      <c r="Q51" s="14"/>
    </row>
    <row r="52" spans="1:17" x14ac:dyDescent="0.35">
      <c r="A52" s="14" t="s">
        <v>248</v>
      </c>
      <c r="B52" s="14" t="str">
        <f>IF(HAF[[#This Row],[Program]]="Housing Accelerator Fund", "Round One", "Round Two")</f>
        <v>Round One</v>
      </c>
      <c r="C52" s="14" t="s">
        <v>71</v>
      </c>
      <c r="D52" s="14" t="s">
        <v>32</v>
      </c>
      <c r="E52" s="14" t="s">
        <v>17</v>
      </c>
      <c r="F52" s="14" t="s">
        <v>18</v>
      </c>
      <c r="G52" s="15">
        <v>45306</v>
      </c>
      <c r="H52" s="15" t="str">
        <f>MID(HAF[[#This Row],[Client Program Name]], SEARCH( "-",HAF[[#This Row],[Client Program Name]])+1,LEN(HAF[[#This Row],[Client Program Name]])-(SEARCH( "-",HAF[[#This Row],[Client Program Name]])-1))</f>
        <v xml:space="preserve"> Tsal'alh First Nation</v>
      </c>
      <c r="I52" s="16">
        <v>1207000</v>
      </c>
      <c r="J52" s="16">
        <f>IF(ISNUMBER(MATCH(HAF[[#This Row],[Client Program Name]],Table6[Client Program],0)), VLOOKUP(HAF[[#This Row],[Client Program Name]],Table6[], 6, FALSE), 0 )</f>
        <v>1065000</v>
      </c>
      <c r="K52" s="16">
        <f>IF(ISNUMBER(MATCH(HAF[[#This Row],[Client Program Name]],Table6[Client Program],0)), VLOOKUP(HAF[[#This Row],[Client Program Name]],Table6[], 7, FALSE), VLOOKUP(HAF[[#This Row],[Client Program Name]],Table2[], 7, FALSE) )</f>
        <v>6</v>
      </c>
      <c r="L52" s="16">
        <v>17</v>
      </c>
      <c r="M52" s="16">
        <f>IF(ISNUMBER(MATCH(HAF[[#This Row],[Client Program Name]],Table6[Client Program],0)), VLOOKUP(HAF[[#This Row],[Client Program Name]],Table6[], 9, FALSE), 0 )</f>
        <v>15</v>
      </c>
      <c r="N52" s="16">
        <f>IF(ISNUMBER(MATCH(HAF[[#This Row],[Client Program Name]],Table6[Client Program],0)), VLOOKUP(HAF[[#This Row],[Client Program Name]],Table6[], 10, FALSE), VLOOKUP(HAF[[#This Row],[Client Program Name]],Table2[], 8, FALSE) )</f>
        <v>23</v>
      </c>
      <c r="O52" s="16">
        <v>64</v>
      </c>
      <c r="P52" s="3"/>
      <c r="Q52" s="14"/>
    </row>
    <row r="53" spans="1:17" x14ac:dyDescent="0.35">
      <c r="A53" s="14" t="s">
        <v>249</v>
      </c>
      <c r="B53" s="14" t="str">
        <f>IF(HAF[[#This Row],[Program]]="Housing Accelerator Fund", "Round One", "Round Two")</f>
        <v>Round Two</v>
      </c>
      <c r="C53" s="14" t="s">
        <v>256</v>
      </c>
      <c r="D53" s="14" t="s">
        <v>32</v>
      </c>
      <c r="E53" s="14" t="s">
        <v>10</v>
      </c>
      <c r="F53" s="14" t="s">
        <v>11</v>
      </c>
      <c r="G53" s="15">
        <v>45636</v>
      </c>
      <c r="H53" s="15" t="str">
        <f>MID(HAF[[#This Row],[Client Program Name]], SEARCH( "-",HAF[[#This Row],[Client Program Name]])+1,LEN(HAF[[#This Row],[Client Program Name]])-(SEARCH( "-",HAF[[#This Row],[Client Program Name]])-1))</f>
        <v xml:space="preserve"> Resort Municipality of Whistler</v>
      </c>
      <c r="I53" s="16">
        <v>2550853.6</v>
      </c>
      <c r="J53" s="16">
        <f>IF(ISNUMBER(MATCH(HAF[[#This Row],[Client Program Name]],Table6[Client Program],0)), VLOOKUP(HAF[[#This Row],[Client Program Name]],Table6[], 6, FALSE), 0 )</f>
        <v>0</v>
      </c>
      <c r="K53" s="16">
        <f>IF(ISNUMBER(MATCH(HAF[[#This Row],[Client Program Name]],Table6[Client Program],0)), VLOOKUP(HAF[[#This Row],[Client Program Name]],Table6[], 7, FALSE), VLOOKUP(HAF[[#This Row],[Client Program Name]],Table2[], 7, FALSE) )</f>
        <v>310</v>
      </c>
      <c r="L53" s="16">
        <v>62</v>
      </c>
      <c r="M53" s="16">
        <f>IF(ISNUMBER(MATCH(HAF[[#This Row],[Client Program Name]],Table6[Client Program],0)), VLOOKUP(HAF[[#This Row],[Client Program Name]],Table6[], 9, FALSE), 0 )</f>
        <v>0</v>
      </c>
      <c r="N53" s="16">
        <f>IF(ISNUMBER(MATCH(HAF[[#This Row],[Client Program Name]],Table6[Client Program],0)), VLOOKUP(HAF[[#This Row],[Client Program Name]],Table6[], 10, FALSE), VLOOKUP(HAF[[#This Row],[Client Program Name]],Table2[], 8, FALSE) )</f>
        <v>372</v>
      </c>
      <c r="O53" s="16">
        <v>814</v>
      </c>
      <c r="P53" s="3"/>
      <c r="Q53" s="14"/>
    </row>
    <row r="54" spans="1:17" x14ac:dyDescent="0.35">
      <c r="A54" s="14" t="s">
        <v>249</v>
      </c>
      <c r="B54" s="14" t="str">
        <f>IF(HAF[[#This Row],[Program]]="Housing Accelerator Fund", "Round One", "Round Two")</f>
        <v>Round Two</v>
      </c>
      <c r="C54" s="14" t="s">
        <v>257</v>
      </c>
      <c r="D54" s="14" t="s">
        <v>32</v>
      </c>
      <c r="E54" s="14" t="s">
        <v>10</v>
      </c>
      <c r="F54" s="14" t="s">
        <v>11</v>
      </c>
      <c r="G54" s="15">
        <v>45637</v>
      </c>
      <c r="H54" s="15" t="str">
        <f>MID(HAF[[#This Row],[Client Program Name]], SEARCH( "-",HAF[[#This Row],[Client Program Name]])+1,LEN(HAF[[#This Row],[Client Program Name]])-(SEARCH( "-",HAF[[#This Row],[Client Program Name]])-1))</f>
        <v xml:space="preserve"> City of Maple Ridge</v>
      </c>
      <c r="I54" s="16">
        <v>16632970</v>
      </c>
      <c r="J54" s="16">
        <f>IF(ISNUMBER(MATCH(HAF[[#This Row],[Client Program Name]],Table6[Client Program],0)), VLOOKUP(HAF[[#This Row],[Client Program Name]],Table6[], 6, FALSE), 0 )</f>
        <v>0</v>
      </c>
      <c r="K54" s="16">
        <f>IF(ISNUMBER(MATCH(HAF[[#This Row],[Client Program Name]],Table6[Client Program],0)), VLOOKUP(HAF[[#This Row],[Client Program Name]],Table6[], 7, FALSE), VLOOKUP(HAF[[#This Row],[Client Program Name]],Table2[], 7, FALSE) )</f>
        <v>2383</v>
      </c>
      <c r="L54" s="16">
        <v>480</v>
      </c>
      <c r="M54" s="16">
        <f>IF(ISNUMBER(MATCH(HAF[[#This Row],[Client Program Name]],Table6[Client Program],0)), VLOOKUP(HAF[[#This Row],[Client Program Name]],Table6[], 9, FALSE), 0 )</f>
        <v>0</v>
      </c>
      <c r="N54" s="16">
        <f>IF(ISNUMBER(MATCH(HAF[[#This Row],[Client Program Name]],Table6[Client Program],0)), VLOOKUP(HAF[[#This Row],[Client Program Name]],Table6[], 10, FALSE), VLOOKUP(HAF[[#This Row],[Client Program Name]],Table2[], 8, FALSE) )</f>
        <v>2863</v>
      </c>
      <c r="O54" s="16">
        <v>1525</v>
      </c>
      <c r="P54" s="3"/>
      <c r="Q54" s="14"/>
    </row>
    <row r="55" spans="1:17" x14ac:dyDescent="0.35">
      <c r="A55" s="14" t="s">
        <v>249</v>
      </c>
      <c r="B55" s="14" t="str">
        <f>IF(HAF[[#This Row],[Program]]="Housing Accelerator Fund", "Round One", "Round Two")</f>
        <v>Round Two</v>
      </c>
      <c r="C55" s="14" t="s">
        <v>258</v>
      </c>
      <c r="D55" s="14" t="s">
        <v>32</v>
      </c>
      <c r="E55" s="14" t="s">
        <v>10</v>
      </c>
      <c r="F55" s="14" t="s">
        <v>11</v>
      </c>
      <c r="G55" s="15">
        <v>45631</v>
      </c>
      <c r="H55" s="15" t="str">
        <f>MID(HAF[[#This Row],[Client Program Name]], SEARCH( "-",HAF[[#This Row],[Client Program Name]])+1,LEN(HAF[[#This Row],[Client Program Name]])-(SEARCH( "-",HAF[[#This Row],[Client Program Name]])-1))</f>
        <v xml:space="preserve"> City of Delta</v>
      </c>
      <c r="I55" s="16">
        <v>14213969.699999999</v>
      </c>
      <c r="J55" s="16">
        <f>IF(ISNUMBER(MATCH(HAF[[#This Row],[Client Program Name]],Table6[Client Program],0)), VLOOKUP(HAF[[#This Row],[Client Program Name]],Table6[], 6, FALSE), 0 )</f>
        <v>0</v>
      </c>
      <c r="K55" s="16">
        <f>IF(ISNUMBER(MATCH(HAF[[#This Row],[Client Program Name]],Table6[Client Program],0)), VLOOKUP(HAF[[#This Row],[Client Program Name]],Table6[], 7, FALSE), VLOOKUP(HAF[[#This Row],[Client Program Name]],Table2[], 7, FALSE) )</f>
        <v>2095</v>
      </c>
      <c r="L55" s="16">
        <v>424</v>
      </c>
      <c r="M55" s="16">
        <f>IF(ISNUMBER(MATCH(HAF[[#This Row],[Client Program Name]],Table6[Client Program],0)), VLOOKUP(HAF[[#This Row],[Client Program Name]],Table6[], 9, FALSE), 0 )</f>
        <v>0</v>
      </c>
      <c r="N55" s="16">
        <f>IF(ISNUMBER(MATCH(HAF[[#This Row],[Client Program Name]],Table6[Client Program],0)), VLOOKUP(HAF[[#This Row],[Client Program Name]],Table6[], 10, FALSE), VLOOKUP(HAF[[#This Row],[Client Program Name]],Table2[], 8, FALSE) )</f>
        <v>2519</v>
      </c>
      <c r="O55" s="16">
        <v>4100</v>
      </c>
      <c r="P55" s="3"/>
      <c r="Q55" s="14"/>
    </row>
    <row r="56" spans="1:17" x14ac:dyDescent="0.35">
      <c r="A56" s="14" t="s">
        <v>249</v>
      </c>
      <c r="B56" s="14" t="str">
        <f>IF(HAF[[#This Row],[Program]]="Housing Accelerator Fund", "Round One", "Round Two")</f>
        <v>Round Two</v>
      </c>
      <c r="C56" s="14" t="s">
        <v>259</v>
      </c>
      <c r="D56" s="14" t="s">
        <v>32</v>
      </c>
      <c r="E56" s="14" t="s">
        <v>10</v>
      </c>
      <c r="F56" s="14" t="s">
        <v>11</v>
      </c>
      <c r="G56" s="15">
        <v>45645</v>
      </c>
      <c r="H56" s="15" t="str">
        <f>MID(HAF[[#This Row],[Client Program Name]], SEARCH( "-",HAF[[#This Row],[Client Program Name]])+1,LEN(HAF[[#This Row],[Client Program Name]])-(SEARCH( "-",HAF[[#This Row],[Client Program Name]])-1))</f>
        <v xml:space="preserve"> City of West Kelowna</v>
      </c>
      <c r="I56" s="16">
        <v>7978160.9000000004</v>
      </c>
      <c r="J56" s="16">
        <f>IF(ISNUMBER(MATCH(HAF[[#This Row],[Client Program Name]],Table6[Client Program],0)), VLOOKUP(HAF[[#This Row],[Client Program Name]],Table6[], 6, FALSE), 0 )</f>
        <v>0</v>
      </c>
      <c r="K56" s="16">
        <f>IF(ISNUMBER(MATCH(HAF[[#This Row],[Client Program Name]],Table6[Client Program],0)), VLOOKUP(HAF[[#This Row],[Client Program Name]],Table6[], 7, FALSE), VLOOKUP(HAF[[#This Row],[Client Program Name]],Table2[], 7, FALSE) )</f>
        <v>1110</v>
      </c>
      <c r="L56" s="16">
        <v>233</v>
      </c>
      <c r="M56" s="16">
        <f>IF(ISNUMBER(MATCH(HAF[[#This Row],[Client Program Name]],Table6[Client Program],0)), VLOOKUP(HAF[[#This Row],[Client Program Name]],Table6[], 9, FALSE), 0 )</f>
        <v>0</v>
      </c>
      <c r="N56" s="16">
        <f>IF(ISNUMBER(MATCH(HAF[[#This Row],[Client Program Name]],Table6[Client Program],0)), VLOOKUP(HAF[[#This Row],[Client Program Name]],Table6[], 10, FALSE), VLOOKUP(HAF[[#This Row],[Client Program Name]],Table2[], 8, FALSE) )</f>
        <v>1343</v>
      </c>
      <c r="O56" s="16">
        <v>780</v>
      </c>
      <c r="P56" s="3"/>
      <c r="Q56" s="14"/>
    </row>
    <row r="57" spans="1:17" x14ac:dyDescent="0.35">
      <c r="A57" s="14" t="s">
        <v>249</v>
      </c>
      <c r="B57" s="14" t="str">
        <f>IF(HAF[[#This Row],[Program]]="Housing Accelerator Fund", "Round One", "Round Two")</f>
        <v>Round Two</v>
      </c>
      <c r="C57" s="14" t="s">
        <v>260</v>
      </c>
      <c r="D57" s="14" t="s">
        <v>32</v>
      </c>
      <c r="E57" s="14" t="s">
        <v>10</v>
      </c>
      <c r="F57" s="14" t="s">
        <v>11</v>
      </c>
      <c r="G57" s="15">
        <v>45635</v>
      </c>
      <c r="H57" s="15" t="str">
        <f>MID(HAF[[#This Row],[Client Program Name]], SEARCH( "-",HAF[[#This Row],[Client Program Name]])+1,LEN(HAF[[#This Row],[Client Program Name]])-(SEARCH( "-",HAF[[#This Row],[Client Program Name]])-1))</f>
        <v xml:space="preserve"> City of Port Coquitlam</v>
      </c>
      <c r="I57" s="16">
        <v>10353323.1</v>
      </c>
      <c r="J57" s="16">
        <f>IF(ISNUMBER(MATCH(HAF[[#This Row],[Client Program Name]],Table6[Client Program],0)), VLOOKUP(HAF[[#This Row],[Client Program Name]],Table6[], 6, FALSE), 0 )</f>
        <v>0</v>
      </c>
      <c r="K57" s="16">
        <f>IF(ISNUMBER(MATCH(HAF[[#This Row],[Client Program Name]],Table6[Client Program],0)), VLOOKUP(HAF[[#This Row],[Client Program Name]],Table6[], 7, FALSE), VLOOKUP(HAF[[#This Row],[Client Program Name]],Table2[], 7, FALSE) )</f>
        <v>844</v>
      </c>
      <c r="L57" s="16">
        <v>287</v>
      </c>
      <c r="M57" s="16">
        <f>IF(ISNUMBER(MATCH(HAF[[#This Row],[Client Program Name]],Table6[Client Program],0)), VLOOKUP(HAF[[#This Row],[Client Program Name]],Table6[], 9, FALSE), 0 )</f>
        <v>0</v>
      </c>
      <c r="N57" s="16">
        <f>IF(ISNUMBER(MATCH(HAF[[#This Row],[Client Program Name]],Table6[Client Program],0)), VLOOKUP(HAF[[#This Row],[Client Program Name]],Table6[], 10, FALSE), VLOOKUP(HAF[[#This Row],[Client Program Name]],Table2[], 8, FALSE) )</f>
        <v>1131</v>
      </c>
      <c r="O57" s="16">
        <v>956</v>
      </c>
      <c r="P57" s="3"/>
      <c r="Q57" s="14"/>
    </row>
    <row r="58" spans="1:17" x14ac:dyDescent="0.35">
      <c r="A58" s="14" t="s">
        <v>249</v>
      </c>
      <c r="B58" s="14" t="str">
        <f>IF(HAF[[#This Row],[Program]]="Housing Accelerator Fund", "Round One", "Round Two")</f>
        <v>Round Two</v>
      </c>
      <c r="C58" s="14" t="s">
        <v>261</v>
      </c>
      <c r="D58" s="14" t="s">
        <v>32</v>
      </c>
      <c r="E58" s="14" t="s">
        <v>17</v>
      </c>
      <c r="F58" s="14" t="s">
        <v>100</v>
      </c>
      <c r="G58" s="15">
        <v>45646</v>
      </c>
      <c r="H58" s="15" t="str">
        <f>MID(HAF[[#This Row],[Client Program Name]], SEARCH( "-",HAF[[#This Row],[Client Program Name]])+1,LEN(HAF[[#This Row],[Client Program Name]])-(SEARCH( "-",HAF[[#This Row],[Client Program Name]])-1))</f>
        <v xml:space="preserve"> Tsleil-Waututh Nation</v>
      </c>
      <c r="I58" s="16">
        <v>1877091.2</v>
      </c>
      <c r="J58" s="16">
        <f>IF(ISNUMBER(MATCH(HAF[[#This Row],[Client Program Name]],Table6[Client Program],0)), VLOOKUP(HAF[[#This Row],[Client Program Name]],Table6[], 6, FALSE), 0 )</f>
        <v>0</v>
      </c>
      <c r="K58" s="16">
        <f>IF(ISNUMBER(MATCH(HAF[[#This Row],[Client Program Name]],Table6[Client Program],0)), VLOOKUP(HAF[[#This Row],[Client Program Name]],Table6[], 7, FALSE), VLOOKUP(HAF[[#This Row],[Client Program Name]],Table2[], 7, FALSE) )</f>
        <v>157</v>
      </c>
      <c r="L58" s="16">
        <v>35</v>
      </c>
      <c r="M58" s="16">
        <f>IF(ISNUMBER(MATCH(HAF[[#This Row],[Client Program Name]],Table6[Client Program],0)), VLOOKUP(HAF[[#This Row],[Client Program Name]],Table6[], 9, FALSE), 0 )</f>
        <v>0</v>
      </c>
      <c r="N58" s="16">
        <f>IF(ISNUMBER(MATCH(HAF[[#This Row],[Client Program Name]],Table6[Client Program],0)), VLOOKUP(HAF[[#This Row],[Client Program Name]],Table6[], 10, FALSE), VLOOKUP(HAF[[#This Row],[Client Program Name]],Table2[], 8, FALSE) )</f>
        <v>192</v>
      </c>
      <c r="O58" s="16">
        <v>1501</v>
      </c>
      <c r="P58" s="3"/>
      <c r="Q58" s="14"/>
    </row>
    <row r="59" spans="1:17" x14ac:dyDescent="0.35">
      <c r="A59" s="14" t="s">
        <v>249</v>
      </c>
      <c r="B59" s="14" t="str">
        <f>IF(HAF[[#This Row],[Program]]="Housing Accelerator Fund", "Round One", "Round Two")</f>
        <v>Round Two</v>
      </c>
      <c r="C59" s="14" t="s">
        <v>262</v>
      </c>
      <c r="D59" s="14" t="s">
        <v>32</v>
      </c>
      <c r="E59" s="14" t="s">
        <v>17</v>
      </c>
      <c r="F59" s="14" t="s">
        <v>18</v>
      </c>
      <c r="G59" s="15">
        <v>45638</v>
      </c>
      <c r="H59" s="15" t="str">
        <f>MID(HAF[[#This Row],[Client Program Name]], SEARCH( "-",HAF[[#This Row],[Client Program Name]])+1,LEN(HAF[[#This Row],[Client Program Name]])-(SEARCH( "-",HAF[[#This Row],[Client Program Name]])-1))</f>
        <v xml:space="preserve"> Squamish Nation</v>
      </c>
      <c r="I59" s="16">
        <v>9454000</v>
      </c>
      <c r="J59" s="16">
        <f>IF(ISNUMBER(MATCH(HAF[[#This Row],[Client Program Name]],Table6[Client Program],0)), VLOOKUP(HAF[[#This Row],[Client Program Name]],Table6[], 6, FALSE), 0 )</f>
        <v>0</v>
      </c>
      <c r="K59" s="16">
        <f>IF(ISNUMBER(MATCH(HAF[[#This Row],[Client Program Name]],Table6[Client Program],0)), VLOOKUP(HAF[[#This Row],[Client Program Name]],Table6[], 7, FALSE), VLOOKUP(HAF[[#This Row],[Client Program Name]],Table2[], 7, FALSE) )</f>
        <v>235</v>
      </c>
      <c r="L59" s="16">
        <v>131</v>
      </c>
      <c r="M59" s="16">
        <f>IF(ISNUMBER(MATCH(HAF[[#This Row],[Client Program Name]],Table6[Client Program],0)), VLOOKUP(HAF[[#This Row],[Client Program Name]],Table6[], 9, FALSE), 0 )</f>
        <v>0</v>
      </c>
      <c r="N59" s="16">
        <f>IF(ISNUMBER(MATCH(HAF[[#This Row],[Client Program Name]],Table6[Client Program],0)), VLOOKUP(HAF[[#This Row],[Client Program Name]],Table6[], 10, FALSE), VLOOKUP(HAF[[#This Row],[Client Program Name]],Table2[], 8, FALSE) )</f>
        <v>366</v>
      </c>
      <c r="O59" s="16">
        <v>1427</v>
      </c>
      <c r="P59" s="3"/>
      <c r="Q59" s="14"/>
    </row>
    <row r="60" spans="1:17" x14ac:dyDescent="0.35">
      <c r="A60" s="14" t="s">
        <v>249</v>
      </c>
      <c r="B60" s="14" t="str">
        <f>IF(HAF[[#This Row],[Program]]="Housing Accelerator Fund", "Round One", "Round Two")</f>
        <v>Round Two</v>
      </c>
      <c r="C60" s="14" t="s">
        <v>263</v>
      </c>
      <c r="D60" s="14" t="s">
        <v>32</v>
      </c>
      <c r="E60" s="14" t="s">
        <v>17</v>
      </c>
      <c r="F60" s="14" t="s">
        <v>18</v>
      </c>
      <c r="G60" s="15">
        <v>45645</v>
      </c>
      <c r="H60" s="15" t="str">
        <f>MID(HAF[[#This Row],[Client Program Name]], SEARCH( "-",HAF[[#This Row],[Client Program Name]])+1,LEN(HAF[[#This Row],[Client Program Name]])-(SEARCH( "-",HAF[[#This Row],[Client Program Name]])-1))</f>
        <v xml:space="preserve"> Musqueam Indian Band (MIB)</v>
      </c>
      <c r="I60" s="16">
        <v>3403996.2</v>
      </c>
      <c r="J60" s="16">
        <f>IF(ISNUMBER(MATCH(HAF[[#This Row],[Client Program Name]],Table6[Client Program],0)), VLOOKUP(HAF[[#This Row],[Client Program Name]],Table6[], 6, FALSE), 0 )</f>
        <v>0</v>
      </c>
      <c r="K60" s="16">
        <f>IF(ISNUMBER(MATCH(HAF[[#This Row],[Client Program Name]],Table6[Client Program],0)), VLOOKUP(HAF[[#This Row],[Client Program Name]],Table6[], 7, FALSE), VLOOKUP(HAF[[#This Row],[Client Program Name]],Table2[], 7, FALSE) )</f>
        <v>108</v>
      </c>
      <c r="L60" s="16">
        <v>46</v>
      </c>
      <c r="M60" s="16">
        <f>IF(ISNUMBER(MATCH(HAF[[#This Row],[Client Program Name]],Table6[Client Program],0)), VLOOKUP(HAF[[#This Row],[Client Program Name]],Table6[], 9, FALSE), 0 )</f>
        <v>0</v>
      </c>
      <c r="N60" s="16">
        <f>IF(ISNUMBER(MATCH(HAF[[#This Row],[Client Program Name]],Table6[Client Program],0)), VLOOKUP(HAF[[#This Row],[Client Program Name]],Table6[], 10, FALSE), VLOOKUP(HAF[[#This Row],[Client Program Name]],Table2[], 8, FALSE) )</f>
        <v>154</v>
      </c>
      <c r="O60" s="16">
        <v>2367</v>
      </c>
      <c r="P60" s="3"/>
      <c r="Q60" s="14"/>
    </row>
    <row r="61" spans="1:17" x14ac:dyDescent="0.35">
      <c r="A61" s="14" t="s">
        <v>248</v>
      </c>
      <c r="B61" s="14" t="str">
        <f>IF(HAF[[#This Row],[Program]]="Housing Accelerator Fund", "Round One", "Round Two")</f>
        <v>Round One</v>
      </c>
      <c r="C61" s="14" t="s">
        <v>87</v>
      </c>
      <c r="D61" s="14" t="s">
        <v>81</v>
      </c>
      <c r="E61" s="14" t="s">
        <v>10</v>
      </c>
      <c r="F61" s="14" t="s">
        <v>11</v>
      </c>
      <c r="G61" s="15">
        <v>45265</v>
      </c>
      <c r="H61" s="15" t="str">
        <f>MID(HAF[[#This Row],[Client Program Name]], SEARCH( "-",HAF[[#This Row],[Client Program Name]])+1,LEN(HAF[[#This Row],[Client Program Name]])-(SEARCH( "-",HAF[[#This Row],[Client Program Name]])-1))</f>
        <v xml:space="preserve"> Winnipeg</v>
      </c>
      <c r="I61" s="16">
        <v>122429654</v>
      </c>
      <c r="J61" s="16">
        <f>IF(ISNUMBER(MATCH(HAF[[#This Row],[Client Program Name]],Table6[Client Program],0)), VLOOKUP(HAF[[#This Row],[Client Program Name]],Table6[], 6, FALSE), 0 )</f>
        <v>122429654</v>
      </c>
      <c r="K61" s="16">
        <f>IF(ISNUMBER(MATCH(HAF[[#This Row],[Client Program Name]],Table6[Client Program],0)), VLOOKUP(HAF[[#This Row],[Client Program Name]],Table6[], 7, FALSE), VLOOKUP(HAF[[#This Row],[Client Program Name]],Table2[], 7, FALSE) )</f>
        <v>10935</v>
      </c>
      <c r="L61" s="16">
        <v>3166</v>
      </c>
      <c r="M61" s="16">
        <f>IF(ISNUMBER(MATCH(HAF[[#This Row],[Client Program Name]],Table6[Client Program],0)), VLOOKUP(HAF[[#This Row],[Client Program Name]],Table6[], 9, FALSE), 0 )</f>
        <v>3166</v>
      </c>
      <c r="N61" s="16">
        <f>IF(ISNUMBER(MATCH(HAF[[#This Row],[Client Program Name]],Table6[Client Program],0)), VLOOKUP(HAF[[#This Row],[Client Program Name]],Table6[], 10, FALSE), VLOOKUP(HAF[[#This Row],[Client Program Name]],Table2[], 8, FALSE) )</f>
        <v>14101</v>
      </c>
      <c r="O61" s="16">
        <v>15867</v>
      </c>
      <c r="P61" s="3"/>
      <c r="Q61" s="14"/>
    </row>
    <row r="62" spans="1:17" x14ac:dyDescent="0.35">
      <c r="A62" s="14" t="s">
        <v>248</v>
      </c>
      <c r="B62" s="14" t="str">
        <f>IF(HAF[[#This Row],[Program]]="Housing Accelerator Fund", "Round One", "Round Two")</f>
        <v>Round One</v>
      </c>
      <c r="C62" s="14" t="s">
        <v>80</v>
      </c>
      <c r="D62" s="14" t="s">
        <v>81</v>
      </c>
      <c r="E62" s="14" t="s">
        <v>10</v>
      </c>
      <c r="F62" s="14" t="s">
        <v>11</v>
      </c>
      <c r="G62" s="15">
        <v>45316</v>
      </c>
      <c r="H62" s="15" t="str">
        <f>MID(HAF[[#This Row],[Client Program Name]], SEARCH( "-",HAF[[#This Row],[Client Program Name]])+1,LEN(HAF[[#This Row],[Client Program Name]])-(SEARCH( "-",HAF[[#This Row],[Client Program Name]])-1))</f>
        <v xml:space="preserve"> City of Brandon</v>
      </c>
      <c r="I62" s="16">
        <v>6248360.4000000004</v>
      </c>
      <c r="J62" s="16">
        <f>IF(ISNUMBER(MATCH(HAF[[#This Row],[Client Program Name]],Table6[Client Program],0)), VLOOKUP(HAF[[#This Row],[Client Program Name]],Table6[], 6, FALSE), 0 )</f>
        <v>6248360</v>
      </c>
      <c r="K62" s="16">
        <f>IF(ISNUMBER(MATCH(HAF[[#This Row],[Client Program Name]],Table6[Client Program],0)), VLOOKUP(HAF[[#This Row],[Client Program Name]],Table6[], 7, FALSE), VLOOKUP(HAF[[#This Row],[Client Program Name]],Table2[], 7, FALSE) )</f>
        <v>783</v>
      </c>
      <c r="L62" s="16">
        <v>168</v>
      </c>
      <c r="M62" s="16">
        <f>IF(ISNUMBER(MATCH(HAF[[#This Row],[Client Program Name]],Table6[Client Program],0)), VLOOKUP(HAF[[#This Row],[Client Program Name]],Table6[], 9, FALSE), 0 )</f>
        <v>168</v>
      </c>
      <c r="N62" s="16">
        <f>IF(ISNUMBER(MATCH(HAF[[#This Row],[Client Program Name]],Table6[Client Program],0)), VLOOKUP(HAF[[#This Row],[Client Program Name]],Table6[], 10, FALSE), VLOOKUP(HAF[[#This Row],[Client Program Name]],Table2[], 8, FALSE) )</f>
        <v>951</v>
      </c>
      <c r="O62" s="16">
        <v>761</v>
      </c>
      <c r="P62" s="3"/>
      <c r="Q62" s="14"/>
    </row>
    <row r="63" spans="1:17" x14ac:dyDescent="0.35">
      <c r="A63" s="14" t="s">
        <v>248</v>
      </c>
      <c r="B63" s="14" t="str">
        <f>IF(HAF[[#This Row],[Program]]="Housing Accelerator Fund", "Round One", "Round Two")</f>
        <v>Round One</v>
      </c>
      <c r="C63" s="14" t="s">
        <v>82</v>
      </c>
      <c r="D63" s="14" t="s">
        <v>81</v>
      </c>
      <c r="E63" s="14" t="s">
        <v>17</v>
      </c>
      <c r="F63" s="14" t="s">
        <v>11</v>
      </c>
      <c r="G63" s="15">
        <v>45316</v>
      </c>
      <c r="H63" s="15" t="str">
        <f>MID(HAF[[#This Row],[Client Program Name]], SEARCH( "-",HAF[[#This Row],[Client Program Name]])+1,LEN(HAF[[#This Row],[Client Program Name]])-(SEARCH( "-",HAF[[#This Row],[Client Program Name]])-1))</f>
        <v xml:space="preserve"> Municipality of Emerson-Franklin</v>
      </c>
      <c r="I63" s="16">
        <v>1925676</v>
      </c>
      <c r="J63" s="16">
        <f>IF(ISNUMBER(MATCH(HAF[[#This Row],[Client Program Name]],Table6[Client Program],0)), VLOOKUP(HAF[[#This Row],[Client Program Name]],Table6[], 6, FALSE), 0 )</f>
        <v>1925676</v>
      </c>
      <c r="K63" s="16">
        <f>IF(ISNUMBER(MATCH(HAF[[#This Row],[Client Program Name]],Table6[Client Program],0)), VLOOKUP(HAF[[#This Row],[Client Program Name]],Table6[], 7, FALSE), VLOOKUP(HAF[[#This Row],[Client Program Name]],Table2[], 7, FALSE) )</f>
        <v>24</v>
      </c>
      <c r="L63" s="16">
        <v>49</v>
      </c>
      <c r="M63" s="16">
        <f>IF(ISNUMBER(MATCH(HAF[[#This Row],[Client Program Name]],Table6[Client Program],0)), VLOOKUP(HAF[[#This Row],[Client Program Name]],Table6[], 9, FALSE), 0 )</f>
        <v>49</v>
      </c>
      <c r="N63" s="16">
        <f>IF(ISNUMBER(MATCH(HAF[[#This Row],[Client Program Name]],Table6[Client Program],0)), VLOOKUP(HAF[[#This Row],[Client Program Name]],Table6[], 10, FALSE), VLOOKUP(HAF[[#This Row],[Client Program Name]],Table2[], 8, FALSE) )</f>
        <v>73</v>
      </c>
      <c r="O63" s="16">
        <v>352</v>
      </c>
      <c r="P63" s="3"/>
      <c r="Q63" s="14"/>
    </row>
    <row r="64" spans="1:17" x14ac:dyDescent="0.35">
      <c r="A64" s="14" t="s">
        <v>248</v>
      </c>
      <c r="B64" s="14" t="str">
        <f>IF(HAF[[#This Row],[Program]]="Housing Accelerator Fund", "Round One", "Round Two")</f>
        <v>Round One</v>
      </c>
      <c r="C64" s="14" t="s">
        <v>85</v>
      </c>
      <c r="D64" s="14" t="s">
        <v>81</v>
      </c>
      <c r="E64" s="14" t="s">
        <v>17</v>
      </c>
      <c r="F64" s="14" t="s">
        <v>11</v>
      </c>
      <c r="G64" s="15">
        <v>45322</v>
      </c>
      <c r="H64" s="15" t="str">
        <f>MID(HAF[[#This Row],[Client Program Name]], SEARCH( "-",HAF[[#This Row],[Client Program Name]])+1,LEN(HAF[[#This Row],[Client Program Name]])-(SEARCH( "-",HAF[[#This Row],[Client Program Name]])-1))</f>
        <v xml:space="preserve"> RM of Brokenhead</v>
      </c>
      <c r="I64" s="16">
        <v>728200</v>
      </c>
      <c r="J64" s="16">
        <f>IF(ISNUMBER(MATCH(HAF[[#This Row],[Client Program Name]],Table6[Client Program],0)), VLOOKUP(HAF[[#This Row],[Client Program Name]],Table6[], 6, FALSE), 0 )</f>
        <v>664200</v>
      </c>
      <c r="K64" s="16">
        <f>IF(ISNUMBER(MATCH(HAF[[#This Row],[Client Program Name]],Table6[Client Program],0)), VLOOKUP(HAF[[#This Row],[Client Program Name]],Table6[], 7, FALSE), VLOOKUP(HAF[[#This Row],[Client Program Name]],Table2[], 7, FALSE) )</f>
        <v>170</v>
      </c>
      <c r="L64" s="16">
        <v>22</v>
      </c>
      <c r="M64" s="16">
        <f>IF(ISNUMBER(MATCH(HAF[[#This Row],[Client Program Name]],Table6[Client Program],0)), VLOOKUP(HAF[[#This Row],[Client Program Name]],Table6[], 9, FALSE), 0 )</f>
        <v>20</v>
      </c>
      <c r="N64" s="16">
        <f>IF(ISNUMBER(MATCH(HAF[[#This Row],[Client Program Name]],Table6[Client Program],0)), VLOOKUP(HAF[[#This Row],[Client Program Name]],Table6[], 10, FALSE), VLOOKUP(HAF[[#This Row],[Client Program Name]],Table2[], 8, FALSE) )</f>
        <v>192</v>
      </c>
      <c r="O64" s="16">
        <v>160</v>
      </c>
      <c r="P64" s="3"/>
      <c r="Q64" s="14"/>
    </row>
    <row r="65" spans="1:17" x14ac:dyDescent="0.35">
      <c r="A65" s="14" t="s">
        <v>248</v>
      </c>
      <c r="B65" s="14" t="str">
        <f>IF(HAF[[#This Row],[Program]]="Housing Accelerator Fund", "Round One", "Round Two")</f>
        <v>Round One</v>
      </c>
      <c r="C65" s="14" t="s">
        <v>86</v>
      </c>
      <c r="D65" s="14" t="s">
        <v>81</v>
      </c>
      <c r="E65" s="14" t="s">
        <v>17</v>
      </c>
      <c r="F65" s="14" t="s">
        <v>18</v>
      </c>
      <c r="G65" s="15">
        <v>45322</v>
      </c>
      <c r="H65" s="15" t="str">
        <f>MID(HAF[[#This Row],[Client Program Name]], SEARCH( "-",HAF[[#This Row],[Client Program Name]])+1,LEN(HAF[[#This Row],[Client Program Name]])-(SEARCH( "-",HAF[[#This Row],[Client Program Name]])-1))</f>
        <v xml:space="preserve"> Sioux Valley Dakota Nation</v>
      </c>
      <c r="I65" s="16">
        <v>1552000</v>
      </c>
      <c r="J65" s="16">
        <f>IF(ISNUMBER(MATCH(HAF[[#This Row],[Client Program Name]],Table6[Client Program],0)), VLOOKUP(HAF[[#This Row],[Client Program Name]],Table6[], 6, FALSE), 0 )</f>
        <v>1552000</v>
      </c>
      <c r="K65" s="16">
        <f>IF(ISNUMBER(MATCH(HAF[[#This Row],[Client Program Name]],Table6[Client Program],0)), VLOOKUP(HAF[[#This Row],[Client Program Name]],Table6[], 7, FALSE), VLOOKUP(HAF[[#This Row],[Client Program Name]],Table2[], 7, FALSE) )</f>
        <v>9</v>
      </c>
      <c r="L65" s="16">
        <v>25</v>
      </c>
      <c r="M65" s="16">
        <f>IF(ISNUMBER(MATCH(HAF[[#This Row],[Client Program Name]],Table6[Client Program],0)), VLOOKUP(HAF[[#This Row],[Client Program Name]],Table6[], 9, FALSE), 0 )</f>
        <v>25</v>
      </c>
      <c r="N65" s="16">
        <f>IF(ISNUMBER(MATCH(HAF[[#This Row],[Client Program Name]],Table6[Client Program],0)), VLOOKUP(HAF[[#This Row],[Client Program Name]],Table6[], 10, FALSE), VLOOKUP(HAF[[#This Row],[Client Program Name]],Table2[], 8, FALSE) )</f>
        <v>34</v>
      </c>
      <c r="O65" s="16">
        <v>120</v>
      </c>
      <c r="P65" s="3"/>
      <c r="Q65" s="14"/>
    </row>
    <row r="66" spans="1:17" x14ac:dyDescent="0.35">
      <c r="A66" s="14" t="s">
        <v>248</v>
      </c>
      <c r="B66" s="14" t="str">
        <f>IF(HAF[[#This Row],[Program]]="Housing Accelerator Fund", "Round One", "Round Two")</f>
        <v>Round One</v>
      </c>
      <c r="C66" s="14" t="s">
        <v>83</v>
      </c>
      <c r="D66" s="14" t="s">
        <v>81</v>
      </c>
      <c r="E66" s="14" t="s">
        <v>17</v>
      </c>
      <c r="F66" s="14" t="s">
        <v>18</v>
      </c>
      <c r="G66" s="15">
        <v>45282</v>
      </c>
      <c r="H66" s="15" t="str">
        <f>MID(HAF[[#This Row],[Client Program Name]], SEARCH( "-",HAF[[#This Row],[Client Program Name]])+1,LEN(HAF[[#This Row],[Client Program Name]])-(SEARCH( "-",HAF[[#This Row],[Client Program Name]])-1))</f>
        <v xml:space="preserve"> Naawi-Oodena</v>
      </c>
      <c r="I66" s="16">
        <v>5315182.4000000004</v>
      </c>
      <c r="J66" s="16">
        <f>IF(ISNUMBER(MATCH(HAF[[#This Row],[Client Program Name]],Table6[Client Program],0)), VLOOKUP(HAF[[#This Row],[Client Program Name]],Table6[], 6, FALSE), 0 )</f>
        <v>5315182</v>
      </c>
      <c r="K66" s="16">
        <f>IF(ISNUMBER(MATCH(HAF[[#This Row],[Client Program Name]],Table6[Client Program],0)), VLOOKUP(HAF[[#This Row],[Client Program Name]],Table6[], 7, FALSE), VLOOKUP(HAF[[#This Row],[Client Program Name]],Table2[], 7, FALSE) )</f>
        <v>144</v>
      </c>
      <c r="L66" s="16">
        <v>88</v>
      </c>
      <c r="M66" s="16">
        <f>IF(ISNUMBER(MATCH(HAF[[#This Row],[Client Program Name]],Table6[Client Program],0)), VLOOKUP(HAF[[#This Row],[Client Program Name]],Table6[], 9, FALSE), 0 )</f>
        <v>88</v>
      </c>
      <c r="N66" s="16">
        <f>IF(ISNUMBER(MATCH(HAF[[#This Row],[Client Program Name]],Table6[Client Program],0)), VLOOKUP(HAF[[#This Row],[Client Program Name]],Table6[], 10, FALSE), VLOOKUP(HAF[[#This Row],[Client Program Name]],Table2[], 8, FALSE) )</f>
        <v>232</v>
      </c>
      <c r="O66" s="16">
        <v>900</v>
      </c>
      <c r="P66" s="3"/>
      <c r="Q66" s="14"/>
    </row>
    <row r="67" spans="1:17" x14ac:dyDescent="0.35">
      <c r="A67" s="14" t="s">
        <v>249</v>
      </c>
      <c r="B67" s="14" t="str">
        <f>IF(HAF[[#This Row],[Program]]="Housing Accelerator Fund", "Round One", "Round Two")</f>
        <v>Round Two</v>
      </c>
      <c r="C67" s="14" t="s">
        <v>264</v>
      </c>
      <c r="D67" s="14" t="s">
        <v>81</v>
      </c>
      <c r="E67" s="14" t="s">
        <v>17</v>
      </c>
      <c r="F67" s="14" t="s">
        <v>11</v>
      </c>
      <c r="G67" s="15">
        <v>45646</v>
      </c>
      <c r="H67" s="15" t="str">
        <f>MID(HAF[[#This Row],[Client Program Name]], SEARCH( "-",HAF[[#This Row],[Client Program Name]])+1,LEN(HAF[[#This Row],[Client Program Name]])-(SEARCH( "-",HAF[[#This Row],[Client Program Name]])-1))</f>
        <v xml:space="preserve"> Village of St-Pierre-Jolys</v>
      </c>
      <c r="I67" s="16">
        <v>672000</v>
      </c>
      <c r="J67" s="16">
        <f>IF(ISNUMBER(MATCH(HAF[[#This Row],[Client Program Name]],Table6[Client Program],0)), VLOOKUP(HAF[[#This Row],[Client Program Name]],Table6[], 6, FALSE), 0 )</f>
        <v>0</v>
      </c>
      <c r="K67" s="16">
        <f>IF(ISNUMBER(MATCH(HAF[[#This Row],[Client Program Name]],Table6[Client Program],0)), VLOOKUP(HAF[[#This Row],[Client Program Name]],Table6[], 7, FALSE), VLOOKUP(HAF[[#This Row],[Client Program Name]],Table2[], 7, FALSE) )</f>
        <v>36</v>
      </c>
      <c r="L67" s="16">
        <v>24</v>
      </c>
      <c r="M67" s="16">
        <f>IF(ISNUMBER(MATCH(HAF[[#This Row],[Client Program Name]],Table6[Client Program],0)), VLOOKUP(HAF[[#This Row],[Client Program Name]],Table6[], 9, FALSE), 0 )</f>
        <v>0</v>
      </c>
      <c r="N67" s="16">
        <f>IF(ISNUMBER(MATCH(HAF[[#This Row],[Client Program Name]],Table6[Client Program],0)), VLOOKUP(HAF[[#This Row],[Client Program Name]],Table6[], 10, FALSE), VLOOKUP(HAF[[#This Row],[Client Program Name]],Table2[], 8, FALSE) )</f>
        <v>60</v>
      </c>
      <c r="O67" s="16">
        <v>226</v>
      </c>
      <c r="P67" s="3"/>
      <c r="Q67" s="14"/>
    </row>
    <row r="68" spans="1:17" x14ac:dyDescent="0.35">
      <c r="A68" s="14" t="s">
        <v>249</v>
      </c>
      <c r="B68" s="14" t="str">
        <f>IF(HAF[[#This Row],[Program]]="Housing Accelerator Fund", "Round One", "Round Two")</f>
        <v>Round Two</v>
      </c>
      <c r="C68" s="14" t="s">
        <v>265</v>
      </c>
      <c r="D68" s="14" t="s">
        <v>81</v>
      </c>
      <c r="E68" s="14" t="s">
        <v>17</v>
      </c>
      <c r="F68" s="14" t="s">
        <v>11</v>
      </c>
      <c r="G68" s="15">
        <v>45632</v>
      </c>
      <c r="H68" s="15" t="str">
        <f>MID(HAF[[#This Row],[Client Program Name]], SEARCH( "-",HAF[[#This Row],[Client Program Name]])+1,LEN(HAF[[#This Row],[Client Program Name]])-(SEARCH( "-",HAF[[#This Row],[Client Program Name]])-1))</f>
        <v xml:space="preserve"> Rural Municipality of Ritchot</v>
      </c>
      <c r="I68" s="16">
        <v>2265475.2000000002</v>
      </c>
      <c r="J68" s="16">
        <f>IF(ISNUMBER(MATCH(HAF[[#This Row],[Client Program Name]],Table6[Client Program],0)), VLOOKUP(HAF[[#This Row],[Client Program Name]],Table6[], 6, FALSE), 0 )</f>
        <v>0</v>
      </c>
      <c r="K68" s="16">
        <f>IF(ISNUMBER(MATCH(HAF[[#This Row],[Client Program Name]],Table6[Client Program],0)), VLOOKUP(HAF[[#This Row],[Client Program Name]],Table6[], 7, FALSE), VLOOKUP(HAF[[#This Row],[Client Program Name]],Table2[], 7, FALSE) )</f>
        <v>251</v>
      </c>
      <c r="L68" s="16">
        <v>51</v>
      </c>
      <c r="M68" s="16">
        <f>IF(ISNUMBER(MATCH(HAF[[#This Row],[Client Program Name]],Table6[Client Program],0)), VLOOKUP(HAF[[#This Row],[Client Program Name]],Table6[], 9, FALSE), 0 )</f>
        <v>0</v>
      </c>
      <c r="N68" s="16">
        <f>IF(ISNUMBER(MATCH(HAF[[#This Row],[Client Program Name]],Table6[Client Program],0)), VLOOKUP(HAF[[#This Row],[Client Program Name]],Table6[], 10, FALSE), VLOOKUP(HAF[[#This Row],[Client Program Name]],Table2[], 8, FALSE) )</f>
        <v>302</v>
      </c>
      <c r="O68" s="16">
        <v>285</v>
      </c>
      <c r="P68" s="3"/>
      <c r="Q68" s="14"/>
    </row>
    <row r="69" spans="1:17" x14ac:dyDescent="0.35">
      <c r="A69" s="14" t="s">
        <v>249</v>
      </c>
      <c r="B69" s="14" t="str">
        <f>IF(HAF[[#This Row],[Program]]="Housing Accelerator Fund", "Round One", "Round Two")</f>
        <v>Round Two</v>
      </c>
      <c r="C69" s="14" t="s">
        <v>266</v>
      </c>
      <c r="D69" s="14" t="s">
        <v>81</v>
      </c>
      <c r="E69" s="14" t="s">
        <v>17</v>
      </c>
      <c r="F69" s="14" t="s">
        <v>11</v>
      </c>
      <c r="G69" s="15">
        <v>45636</v>
      </c>
      <c r="H69" s="15" t="str">
        <f>MID(HAF[[#This Row],[Client Program Name]], SEARCH( "-",HAF[[#This Row],[Client Program Name]])+1,LEN(HAF[[#This Row],[Client Program Name]])-(SEARCH( "-",HAF[[#This Row],[Client Program Name]])-1))</f>
        <v xml:space="preserve"> Rural Municipality of Lorne</v>
      </c>
      <c r="I69" s="16">
        <v>1117200</v>
      </c>
      <c r="J69" s="16">
        <f>IF(ISNUMBER(MATCH(HAF[[#This Row],[Client Program Name]],Table6[Client Program],0)), VLOOKUP(HAF[[#This Row],[Client Program Name]],Table6[], 6, FALSE), 0 )</f>
        <v>0</v>
      </c>
      <c r="K69" s="16">
        <f>IF(ISNUMBER(MATCH(HAF[[#This Row],[Client Program Name]],Table6[Client Program],0)), VLOOKUP(HAF[[#This Row],[Client Program Name]],Table6[], 7, FALSE), VLOOKUP(HAF[[#This Row],[Client Program Name]],Table2[], 7, FALSE) )</f>
        <v>15</v>
      </c>
      <c r="L69" s="16">
        <v>32</v>
      </c>
      <c r="M69" s="16">
        <f>IF(ISNUMBER(MATCH(HAF[[#This Row],[Client Program Name]],Table6[Client Program],0)), VLOOKUP(HAF[[#This Row],[Client Program Name]],Table6[], 9, FALSE), 0 )</f>
        <v>0</v>
      </c>
      <c r="N69" s="16">
        <f>IF(ISNUMBER(MATCH(HAF[[#This Row],[Client Program Name]],Table6[Client Program],0)), VLOOKUP(HAF[[#This Row],[Client Program Name]],Table6[], 10, FALSE), VLOOKUP(HAF[[#This Row],[Client Program Name]],Table2[], 8, FALSE) )</f>
        <v>47</v>
      </c>
      <c r="O69" s="16">
        <v>110</v>
      </c>
      <c r="P69" s="3"/>
      <c r="Q69" s="14"/>
    </row>
    <row r="70" spans="1:17" x14ac:dyDescent="0.35">
      <c r="A70" s="14" t="s">
        <v>248</v>
      </c>
      <c r="B70" s="14" t="str">
        <f>IF(HAF[[#This Row],[Program]]="Housing Accelerator Fund", "Round One", "Round Two")</f>
        <v>Round One</v>
      </c>
      <c r="C70" s="14" t="s">
        <v>95</v>
      </c>
      <c r="D70" s="14" t="s">
        <v>89</v>
      </c>
      <c r="E70" s="14" t="s">
        <v>10</v>
      </c>
      <c r="F70" s="14" t="s">
        <v>11</v>
      </c>
      <c r="G70" s="15">
        <v>45272</v>
      </c>
      <c r="H70" s="15" t="str">
        <f>MID(HAF[[#This Row],[Client Program Name]], SEARCH( "-",HAF[[#This Row],[Client Program Name]])+1,LEN(HAF[[#This Row],[Client Program Name]])-(SEARCH( "-",HAF[[#This Row],[Client Program Name]])-1))</f>
        <v xml:space="preserve"> City of Fredericton</v>
      </c>
      <c r="I70" s="16">
        <v>10274118.5</v>
      </c>
      <c r="J70" s="16">
        <f>IF(ISNUMBER(MATCH(HAF[[#This Row],[Client Program Name]],Table6[Client Program],0)), VLOOKUP(HAF[[#This Row],[Client Program Name]],Table6[], 6, FALSE), 0 )</f>
        <v>10274119</v>
      </c>
      <c r="K70" s="16">
        <f>IF(ISNUMBER(MATCH(HAF[[#This Row],[Client Program Name]],Table6[Client Program],0)), VLOOKUP(HAF[[#This Row],[Client Program Name]],Table6[], 7, FALSE), VLOOKUP(HAF[[#This Row],[Client Program Name]],Table2[], 7, FALSE) )</f>
        <v>2124</v>
      </c>
      <c r="L70" s="16">
        <v>287</v>
      </c>
      <c r="M70" s="16">
        <f>IF(ISNUMBER(MATCH(HAF[[#This Row],[Client Program Name]],Table6[Client Program],0)), VLOOKUP(HAF[[#This Row],[Client Program Name]],Table6[], 9, FALSE), 0 )</f>
        <v>287</v>
      </c>
      <c r="N70" s="16">
        <f>IF(ISNUMBER(MATCH(HAF[[#This Row],[Client Program Name]],Table6[Client Program],0)), VLOOKUP(HAF[[#This Row],[Client Program Name]],Table6[], 10, FALSE), VLOOKUP(HAF[[#This Row],[Client Program Name]],Table2[], 8, FALSE) )</f>
        <v>2411</v>
      </c>
      <c r="O70" s="16">
        <v>2560</v>
      </c>
      <c r="P70" s="3"/>
      <c r="Q70" s="14"/>
    </row>
    <row r="71" spans="1:17" x14ac:dyDescent="0.35">
      <c r="A71" s="14" t="s">
        <v>248</v>
      </c>
      <c r="B71" s="14" t="str">
        <f>IF(HAF[[#This Row],[Program]]="Housing Accelerator Fund", "Round One", "Round Two")</f>
        <v>Round One</v>
      </c>
      <c r="C71" s="14" t="s">
        <v>107</v>
      </c>
      <c r="D71" s="14" t="s">
        <v>89</v>
      </c>
      <c r="E71" s="14" t="s">
        <v>10</v>
      </c>
      <c r="F71" s="14" t="s">
        <v>11</v>
      </c>
      <c r="G71" s="15">
        <v>45338</v>
      </c>
      <c r="H71" s="15" t="str">
        <f>MID(HAF[[#This Row],[Client Program Name]], SEARCH( "-",HAF[[#This Row],[Client Program Name]])+1,LEN(HAF[[#This Row],[Client Program Name]])-(SEARCH( "-",HAF[[#This Row],[Client Program Name]])-1))</f>
        <v xml:space="preserve"> Town of Riverview</v>
      </c>
      <c r="I71" s="16">
        <v>4954750</v>
      </c>
      <c r="J71" s="16">
        <f>IF(ISNUMBER(MATCH(HAF[[#This Row],[Client Program Name]],Table6[Client Program],0)), VLOOKUP(HAF[[#This Row],[Client Program Name]],Table6[], 6, FALSE), 0 )</f>
        <v>4954750</v>
      </c>
      <c r="K71" s="16">
        <f>IF(ISNUMBER(MATCH(HAF[[#This Row],[Client Program Name]],Table6[Client Program],0)), VLOOKUP(HAF[[#This Row],[Client Program Name]],Table6[], 7, FALSE), VLOOKUP(HAF[[#This Row],[Client Program Name]],Table2[], 7, FALSE) )</f>
        <v>648</v>
      </c>
      <c r="L71" s="16">
        <v>137</v>
      </c>
      <c r="M71" s="16">
        <f>IF(ISNUMBER(MATCH(HAF[[#This Row],[Client Program Name]],Table6[Client Program],0)), VLOOKUP(HAF[[#This Row],[Client Program Name]],Table6[], 9, FALSE), 0 )</f>
        <v>137</v>
      </c>
      <c r="N71" s="16">
        <f>IF(ISNUMBER(MATCH(HAF[[#This Row],[Client Program Name]],Table6[Client Program],0)), VLOOKUP(HAF[[#This Row],[Client Program Name]],Table6[], 10, FALSE), VLOOKUP(HAF[[#This Row],[Client Program Name]],Table2[], 8, FALSE) )</f>
        <v>785</v>
      </c>
      <c r="O71" s="16">
        <v>456</v>
      </c>
      <c r="P71" s="3"/>
      <c r="Q71" s="14"/>
    </row>
    <row r="72" spans="1:17" x14ac:dyDescent="0.35">
      <c r="A72" s="14" t="s">
        <v>248</v>
      </c>
      <c r="B72" s="14" t="str">
        <f>IF(HAF[[#This Row],[Program]]="Housing Accelerator Fund", "Round One", "Round Two")</f>
        <v>Round One</v>
      </c>
      <c r="C72" s="14" t="s">
        <v>110</v>
      </c>
      <c r="D72" s="14" t="s">
        <v>89</v>
      </c>
      <c r="E72" s="14" t="s">
        <v>10</v>
      </c>
      <c r="F72" s="14" t="s">
        <v>11</v>
      </c>
      <c r="G72" s="15">
        <v>45331</v>
      </c>
      <c r="H72" s="15" t="str">
        <f>MID(HAF[[#This Row],[Client Program Name]], SEARCH( "-",HAF[[#This Row],[Client Program Name]])+1,LEN(HAF[[#This Row],[Client Program Name]])-(SEARCH( "-",HAF[[#This Row],[Client Program Name]])-1))</f>
        <v xml:space="preserve"> Tracadie</v>
      </c>
      <c r="I72" s="16">
        <v>2166072.65</v>
      </c>
      <c r="J72" s="16">
        <f>IF(ISNUMBER(MATCH(HAF[[#This Row],[Client Program Name]],Table6[Client Program],0)), VLOOKUP(HAF[[#This Row],[Client Program Name]],Table6[], 6, FALSE), 0 )</f>
        <v>2475512</v>
      </c>
      <c r="K72" s="16">
        <f>IF(ISNUMBER(MATCH(HAF[[#This Row],[Client Program Name]],Table6[Client Program],0)), VLOOKUP(HAF[[#This Row],[Client Program Name]],Table6[], 7, FALSE), VLOOKUP(HAF[[#This Row],[Client Program Name]],Table2[], 7, FALSE) )</f>
        <v>242</v>
      </c>
      <c r="L72" s="16">
        <v>60</v>
      </c>
      <c r="M72" s="16">
        <f>IF(ISNUMBER(MATCH(HAF[[#This Row],[Client Program Name]],Table6[Client Program],0)), VLOOKUP(HAF[[#This Row],[Client Program Name]],Table6[], 9, FALSE), 0 )</f>
        <v>60</v>
      </c>
      <c r="N72" s="16">
        <f>IF(ISNUMBER(MATCH(HAF[[#This Row],[Client Program Name]],Table6[Client Program],0)), VLOOKUP(HAF[[#This Row],[Client Program Name]],Table6[], 10, FALSE), VLOOKUP(HAF[[#This Row],[Client Program Name]],Table2[], 8, FALSE) )</f>
        <v>302</v>
      </c>
      <c r="O72" s="16">
        <v>621</v>
      </c>
      <c r="P72" s="3"/>
      <c r="Q72" s="14"/>
    </row>
    <row r="73" spans="1:17" x14ac:dyDescent="0.35">
      <c r="A73" s="14" t="s">
        <v>248</v>
      </c>
      <c r="B73" s="14" t="str">
        <f>IF(HAF[[#This Row],[Program]]="Housing Accelerator Fund", "Round One", "Round Two")</f>
        <v>Round One</v>
      </c>
      <c r="C73" s="14" t="s">
        <v>244</v>
      </c>
      <c r="D73" s="14" t="s">
        <v>89</v>
      </c>
      <c r="E73" s="14" t="s">
        <v>10</v>
      </c>
      <c r="F73" s="14" t="s">
        <v>11</v>
      </c>
      <c r="G73" s="15">
        <v>45322</v>
      </c>
      <c r="H73" s="15" t="str">
        <f>MID(HAF[[#This Row],[Client Program Name]], SEARCH( "-",HAF[[#This Row],[Client Program Name]])+1,LEN(HAF[[#This Row],[Client Program Name]])-(SEARCH( "-",HAF[[#This Row],[Client Program Name]])-1))</f>
        <v xml:space="preserve"> Ville d'Edmundston</v>
      </c>
      <c r="I73" s="16">
        <v>4480010</v>
      </c>
      <c r="J73" s="16">
        <f>IF(ISNUMBER(MATCH(HAF[[#This Row],[Client Program Name]],Table6[Client Program],0)), VLOOKUP(HAF[[#This Row],[Client Program Name]],Table6[], 6, FALSE), 0 )</f>
        <v>4065010</v>
      </c>
      <c r="K73" s="16">
        <f>IF(ISNUMBER(MATCH(HAF[[#This Row],[Client Program Name]],Table6[Client Program],0)), VLOOKUP(HAF[[#This Row],[Client Program Name]],Table6[], 7, FALSE), VLOOKUP(HAF[[#This Row],[Client Program Name]],Table2[], 7, FALSE) )</f>
        <v>88</v>
      </c>
      <c r="L73" s="16">
        <v>142</v>
      </c>
      <c r="M73" s="16">
        <f>IF(ISNUMBER(MATCH(HAF[[#This Row],[Client Program Name]],Table6[Client Program],0)), VLOOKUP(HAF[[#This Row],[Client Program Name]],Table6[], 9, FALSE), 0 )</f>
        <v>132</v>
      </c>
      <c r="N73" s="16">
        <f>IF(ISNUMBER(MATCH(HAF[[#This Row],[Client Program Name]],Table6[Client Program],0)), VLOOKUP(HAF[[#This Row],[Client Program Name]],Table6[], 10, FALSE), VLOOKUP(HAF[[#This Row],[Client Program Name]],Table2[], 8, FALSE) )</f>
        <v>230</v>
      </c>
      <c r="O73" s="16">
        <v>2188</v>
      </c>
      <c r="P73" s="3"/>
      <c r="Q73" s="14"/>
    </row>
    <row r="74" spans="1:17" x14ac:dyDescent="0.35">
      <c r="A74" s="14" t="s">
        <v>248</v>
      </c>
      <c r="B74" s="14" t="str">
        <f>IF(HAF[[#This Row],[Program]]="Housing Accelerator Fund", "Round One", "Round Two")</f>
        <v>Round One</v>
      </c>
      <c r="C74" s="14" t="s">
        <v>101</v>
      </c>
      <c r="D74" s="14" t="s">
        <v>89</v>
      </c>
      <c r="E74" s="14" t="s">
        <v>10</v>
      </c>
      <c r="F74" s="14" t="s">
        <v>11</v>
      </c>
      <c r="G74" s="15">
        <v>45244</v>
      </c>
      <c r="H74" s="15" t="str">
        <f>MID(HAF[[#This Row],[Client Program Name]], SEARCH( "-",HAF[[#This Row],[Client Program Name]])+1,LEN(HAF[[#This Row],[Client Program Name]])-(SEARCH( "-",HAF[[#This Row],[Client Program Name]])-1))</f>
        <v xml:space="preserve"> Moncton</v>
      </c>
      <c r="I74" s="16">
        <v>16877510</v>
      </c>
      <c r="J74" s="16">
        <f>IF(ISNUMBER(MATCH(HAF[[#This Row],[Client Program Name]],Table6[Client Program],0)), VLOOKUP(HAF[[#This Row],[Client Program Name]],Table6[], 6, FALSE), 0 )</f>
        <v>15597510</v>
      </c>
      <c r="K74" s="16">
        <f>IF(ISNUMBER(MATCH(HAF[[#This Row],[Client Program Name]],Table6[Client Program],0)), VLOOKUP(HAF[[#This Row],[Client Program Name]],Table6[], 7, FALSE), VLOOKUP(HAF[[#This Row],[Client Program Name]],Table2[], 7, FALSE) )</f>
        <v>2038</v>
      </c>
      <c r="L74" s="16">
        <v>531</v>
      </c>
      <c r="M74" s="16">
        <f>IF(ISNUMBER(MATCH(HAF[[#This Row],[Client Program Name]],Table6[Client Program],0)), VLOOKUP(HAF[[#This Row],[Client Program Name]],Table6[], 9, FALSE), 0 )</f>
        <v>491</v>
      </c>
      <c r="N74" s="16">
        <f>IF(ISNUMBER(MATCH(HAF[[#This Row],[Client Program Name]],Table6[Client Program],0)), VLOOKUP(HAF[[#This Row],[Client Program Name]],Table6[], 10, FALSE), VLOOKUP(HAF[[#This Row],[Client Program Name]],Table2[], 8, FALSE) )</f>
        <v>2569</v>
      </c>
      <c r="O74" s="16">
        <v>5645</v>
      </c>
      <c r="P74" s="3"/>
      <c r="Q74" s="14"/>
    </row>
    <row r="75" spans="1:17" x14ac:dyDescent="0.35">
      <c r="A75" s="14" t="s">
        <v>248</v>
      </c>
      <c r="B75" s="14" t="str">
        <f>IF(HAF[[#This Row],[Program]]="Housing Accelerator Fund", "Round One", "Round Two")</f>
        <v>Round One</v>
      </c>
      <c r="C75" s="14" t="s">
        <v>96</v>
      </c>
      <c r="D75" s="14" t="s">
        <v>89</v>
      </c>
      <c r="E75" s="14" t="s">
        <v>10</v>
      </c>
      <c r="F75" s="14" t="s">
        <v>11</v>
      </c>
      <c r="G75" s="15">
        <v>45293</v>
      </c>
      <c r="H75" s="15" t="str">
        <f>MID(HAF[[#This Row],[Client Program Name]], SEARCH( "-",HAF[[#This Row],[Client Program Name]])+1,LEN(HAF[[#This Row],[Client Program Name]])-(SEARCH( "-",HAF[[#This Row],[Client Program Name]])-1))</f>
        <v xml:space="preserve"> City of Saint John</v>
      </c>
      <c r="I75" s="16">
        <v>10100646.800000001</v>
      </c>
      <c r="J75" s="16">
        <f>IF(ISNUMBER(MATCH(HAF[[#This Row],[Client Program Name]],Table6[Client Program],0)), VLOOKUP(HAF[[#This Row],[Client Program Name]],Table6[], 6, FALSE), 0 )</f>
        <v>9182647</v>
      </c>
      <c r="K75" s="16">
        <f>IF(ISNUMBER(MATCH(HAF[[#This Row],[Client Program Name]],Table6[Client Program],0)), VLOOKUP(HAF[[#This Row],[Client Program Name]],Table6[], 7, FALSE), VLOOKUP(HAF[[#This Row],[Client Program Name]],Table2[], 7, FALSE) )</f>
        <v>839</v>
      </c>
      <c r="L75" s="16">
        <v>319</v>
      </c>
      <c r="M75" s="16">
        <f>IF(ISNUMBER(MATCH(HAF[[#This Row],[Client Program Name]],Table6[Client Program],0)), VLOOKUP(HAF[[#This Row],[Client Program Name]],Table6[], 9, FALSE), 0 )</f>
        <v>285</v>
      </c>
      <c r="N75" s="16">
        <f>IF(ISNUMBER(MATCH(HAF[[#This Row],[Client Program Name]],Table6[Client Program],0)), VLOOKUP(HAF[[#This Row],[Client Program Name]],Table6[], 10, FALSE), VLOOKUP(HAF[[#This Row],[Client Program Name]],Table2[], 8, FALSE) )</f>
        <v>1158</v>
      </c>
      <c r="O75" s="16">
        <v>2530</v>
      </c>
      <c r="P75" s="3"/>
      <c r="Q75" s="14"/>
    </row>
    <row r="76" spans="1:17" x14ac:dyDescent="0.35">
      <c r="A76" s="14" t="s">
        <v>248</v>
      </c>
      <c r="B76" s="14" t="str">
        <f>IF(HAF[[#This Row],[Program]]="Housing Accelerator Fund", "Round One", "Round Two")</f>
        <v>Round One</v>
      </c>
      <c r="C76" s="14" t="s">
        <v>94</v>
      </c>
      <c r="D76" s="14" t="s">
        <v>89</v>
      </c>
      <c r="E76" s="14" t="s">
        <v>10</v>
      </c>
      <c r="F76" s="14" t="s">
        <v>11</v>
      </c>
      <c r="G76" s="15">
        <v>45322</v>
      </c>
      <c r="H76" s="15" t="str">
        <f>MID(HAF[[#This Row],[Client Program Name]], SEARCH( "-",HAF[[#This Row],[Client Program Name]])+1,LEN(HAF[[#This Row],[Client Program Name]])-(SEARCH( "-",HAF[[#This Row],[Client Program Name]])-1))</f>
        <v xml:space="preserve"> City of Bathurst</v>
      </c>
      <c r="I76" s="16">
        <v>3332000</v>
      </c>
      <c r="J76" s="16">
        <f>IF(ISNUMBER(MATCH(HAF[[#This Row],[Client Program Name]],Table6[Client Program],0)), VLOOKUP(HAF[[#This Row],[Client Program Name]],Table6[], 6, FALSE), 0 )</f>
        <v>3012000</v>
      </c>
      <c r="K76" s="16">
        <f>IF(ISNUMBER(MATCH(HAF[[#This Row],[Client Program Name]],Table6[Client Program],0)), VLOOKUP(HAF[[#This Row],[Client Program Name]],Table6[], 7, FALSE), VLOOKUP(HAF[[#This Row],[Client Program Name]],Table2[], 7, FALSE) )</f>
        <v>64</v>
      </c>
      <c r="L76" s="16">
        <v>106</v>
      </c>
      <c r="M76" s="16">
        <f>IF(ISNUMBER(MATCH(HAF[[#This Row],[Client Program Name]],Table6[Client Program],0)), VLOOKUP(HAF[[#This Row],[Client Program Name]],Table6[], 9, FALSE), 0 )</f>
        <v>96</v>
      </c>
      <c r="N76" s="16">
        <f>IF(ISNUMBER(MATCH(HAF[[#This Row],[Client Program Name]],Table6[Client Program],0)), VLOOKUP(HAF[[#This Row],[Client Program Name]],Table6[], 10, FALSE), VLOOKUP(HAF[[#This Row],[Client Program Name]],Table2[], 8, FALSE) )</f>
        <v>170</v>
      </c>
      <c r="O76" s="16">
        <v>930</v>
      </c>
      <c r="P76" s="3"/>
      <c r="Q76" s="14"/>
    </row>
    <row r="77" spans="1:17" x14ac:dyDescent="0.35">
      <c r="A77" s="14" t="s">
        <v>248</v>
      </c>
      <c r="B77" s="14" t="str">
        <f>IF(HAF[[#This Row],[Program]]="Housing Accelerator Fund", "Round One", "Round Two")</f>
        <v>Round One</v>
      </c>
      <c r="C77" s="14" t="s">
        <v>90</v>
      </c>
      <c r="D77" s="14" t="s">
        <v>89</v>
      </c>
      <c r="E77" s="14" t="s">
        <v>10</v>
      </c>
      <c r="F77" s="14" t="s">
        <v>11</v>
      </c>
      <c r="G77" s="15">
        <v>45322</v>
      </c>
      <c r="H77" s="15" t="str">
        <f>MID(HAF[[#This Row],[Client Program Name]], SEARCH( "-",HAF[[#This Row],[Client Program Name]])+1,LEN(HAF[[#This Row],[Client Program Name]])-(SEARCH( "-",HAF[[#This Row],[Client Program Name]])-1))</f>
        <v xml:space="preserve"> Campbellton</v>
      </c>
      <c r="I77" s="16">
        <v>4533971.5</v>
      </c>
      <c r="J77" s="16">
        <f>IF(ISNUMBER(MATCH(HAF[[#This Row],[Client Program Name]],Table6[Client Program],0)), VLOOKUP(HAF[[#This Row],[Client Program Name]],Table6[], 6, FALSE), 0 )</f>
        <v>4533972</v>
      </c>
      <c r="K77" s="16">
        <f>IF(ISNUMBER(MATCH(HAF[[#This Row],[Client Program Name]],Table6[Client Program],0)), VLOOKUP(HAF[[#This Row],[Client Program Name]],Table6[], 7, FALSE), VLOOKUP(HAF[[#This Row],[Client Program Name]],Table2[], 7, FALSE) )</f>
        <v>64</v>
      </c>
      <c r="L77" s="16">
        <v>131</v>
      </c>
      <c r="M77" s="16">
        <f>IF(ISNUMBER(MATCH(HAF[[#This Row],[Client Program Name]],Table6[Client Program],0)), VLOOKUP(HAF[[#This Row],[Client Program Name]],Table6[], 9, FALSE), 0 )</f>
        <v>131</v>
      </c>
      <c r="N77" s="16">
        <f>IF(ISNUMBER(MATCH(HAF[[#This Row],[Client Program Name]],Table6[Client Program],0)), VLOOKUP(HAF[[#This Row],[Client Program Name]],Table6[], 10, FALSE), VLOOKUP(HAF[[#This Row],[Client Program Name]],Table2[], 8, FALSE) )</f>
        <v>195</v>
      </c>
      <c r="O77" s="16">
        <v>465</v>
      </c>
      <c r="P77" s="3"/>
      <c r="Q77" s="14"/>
    </row>
    <row r="78" spans="1:17" x14ac:dyDescent="0.35">
      <c r="A78" s="14" t="s">
        <v>248</v>
      </c>
      <c r="B78" s="14" t="str">
        <f>IF(HAF[[#This Row],[Program]]="Housing Accelerator Fund", "Round One", "Round Two")</f>
        <v>Round One</v>
      </c>
      <c r="C78" s="14" t="s">
        <v>105</v>
      </c>
      <c r="D78" s="14" t="s">
        <v>89</v>
      </c>
      <c r="E78" s="14" t="s">
        <v>17</v>
      </c>
      <c r="F78" s="14" t="s">
        <v>11</v>
      </c>
      <c r="G78" s="15">
        <v>45309</v>
      </c>
      <c r="H78" s="15" t="str">
        <f>MID(HAF[[#This Row],[Client Program Name]], SEARCH( "-",HAF[[#This Row],[Client Program Name]])+1,LEN(HAF[[#This Row],[Client Program Name]])-(SEARCH( "-",HAF[[#This Row],[Client Program Name]])-1))</f>
        <v xml:space="preserve"> Town of Grand Bay-Westfield</v>
      </c>
      <c r="I78" s="16">
        <v>1051143</v>
      </c>
      <c r="J78" s="16">
        <f>IF(ISNUMBER(MATCH(HAF[[#This Row],[Client Program Name]],Table6[Client Program],0)), VLOOKUP(HAF[[#This Row],[Client Program Name]],Table6[], 6, FALSE), 0 )</f>
        <v>1051143</v>
      </c>
      <c r="K78" s="16">
        <f>IF(ISNUMBER(MATCH(HAF[[#This Row],[Client Program Name]],Table6[Client Program],0)), VLOOKUP(HAF[[#This Row],[Client Program Name]],Table6[], 7, FALSE), VLOOKUP(HAF[[#This Row],[Client Program Name]],Table2[], 7, FALSE) )</f>
        <v>93</v>
      </c>
      <c r="L78" s="16">
        <v>30</v>
      </c>
      <c r="M78" s="16">
        <f>IF(ISNUMBER(MATCH(HAF[[#This Row],[Client Program Name]],Table6[Client Program],0)), VLOOKUP(HAF[[#This Row],[Client Program Name]],Table6[], 9, FALSE), 0 )</f>
        <v>30</v>
      </c>
      <c r="N78" s="16">
        <f>IF(ISNUMBER(MATCH(HAF[[#This Row],[Client Program Name]],Table6[Client Program],0)), VLOOKUP(HAF[[#This Row],[Client Program Name]],Table6[], 10, FALSE), VLOOKUP(HAF[[#This Row],[Client Program Name]],Table2[], 8, FALSE) )</f>
        <v>123</v>
      </c>
      <c r="O78" s="16">
        <v>101</v>
      </c>
      <c r="P78" s="3"/>
      <c r="Q78" s="14"/>
    </row>
    <row r="79" spans="1:17" x14ac:dyDescent="0.35">
      <c r="A79" s="14" t="s">
        <v>248</v>
      </c>
      <c r="B79" s="14" t="str">
        <f>IF(HAF[[#This Row],[Program]]="Housing Accelerator Fund", "Round One", "Round Two")</f>
        <v>Round One</v>
      </c>
      <c r="C79" s="14" t="s">
        <v>91</v>
      </c>
      <c r="D79" s="14" t="s">
        <v>89</v>
      </c>
      <c r="E79" s="14" t="s">
        <v>17</v>
      </c>
      <c r="F79" s="14" t="s">
        <v>11</v>
      </c>
      <c r="G79" s="15">
        <v>45306</v>
      </c>
      <c r="H79" s="15" t="str">
        <f>MID(HAF[[#This Row],[Client Program Name]], SEARCH( "-",HAF[[#This Row],[Client Program Name]])+1,LEN(HAF[[#This Row],[Client Program Name]])-(SEARCH( "-",HAF[[#This Row],[Client Program Name]])-1))</f>
        <v xml:space="preserve"> Cap-Acadie</v>
      </c>
      <c r="I79" s="16">
        <v>2006357.2</v>
      </c>
      <c r="J79" s="16">
        <f>IF(ISNUMBER(MATCH(HAF[[#This Row],[Client Program Name]],Table6[Client Program],0)), VLOOKUP(HAF[[#This Row],[Client Program Name]],Table6[], 6, FALSE), 0 )</f>
        <v>2006357</v>
      </c>
      <c r="K79" s="16">
        <f>IF(ISNUMBER(MATCH(HAF[[#This Row],[Client Program Name]],Table6[Client Program],0)), VLOOKUP(HAF[[#This Row],[Client Program Name]],Table6[], 7, FALSE), VLOOKUP(HAF[[#This Row],[Client Program Name]],Table2[], 7, FALSE) )</f>
        <v>335</v>
      </c>
      <c r="L79" s="16">
        <v>53</v>
      </c>
      <c r="M79" s="16">
        <f>IF(ISNUMBER(MATCH(HAF[[#This Row],[Client Program Name]],Table6[Client Program],0)), VLOOKUP(HAF[[#This Row],[Client Program Name]],Table6[], 9, FALSE), 0 )</f>
        <v>53</v>
      </c>
      <c r="N79" s="16">
        <f>IF(ISNUMBER(MATCH(HAF[[#This Row],[Client Program Name]],Table6[Client Program],0)), VLOOKUP(HAF[[#This Row],[Client Program Name]],Table6[], 10, FALSE), VLOOKUP(HAF[[#This Row],[Client Program Name]],Table2[], 8, FALSE) )</f>
        <v>388</v>
      </c>
      <c r="O79" s="16">
        <v>360</v>
      </c>
      <c r="P79" s="3"/>
      <c r="Q79" s="14"/>
    </row>
    <row r="80" spans="1:17" x14ac:dyDescent="0.35">
      <c r="A80" s="14" t="s">
        <v>248</v>
      </c>
      <c r="B80" s="14" t="str">
        <f>IF(HAF[[#This Row],[Program]]="Housing Accelerator Fund", "Round One", "Round Two")</f>
        <v>Round One</v>
      </c>
      <c r="C80" s="14" t="s">
        <v>93</v>
      </c>
      <c r="D80" s="14" t="s">
        <v>89</v>
      </c>
      <c r="E80" s="14" t="s">
        <v>17</v>
      </c>
      <c r="F80" s="14" t="s">
        <v>11</v>
      </c>
      <c r="G80" s="15">
        <v>45322</v>
      </c>
      <c r="H80" s="15" t="str">
        <f>MID(HAF[[#This Row],[Client Program Name]], SEARCH( "-",HAF[[#This Row],[Client Program Name]])+1,LEN(HAF[[#This Row],[Client Program Name]])-(SEARCH( "-",HAF[[#This Row],[Client Program Name]])-1))</f>
        <v xml:space="preserve"> Champdoré</v>
      </c>
      <c r="I80" s="16">
        <v>3849716.4</v>
      </c>
      <c r="J80" s="16">
        <f>IF(ISNUMBER(MATCH(HAF[[#This Row],[Client Program Name]],Table6[Client Program],0)), VLOOKUP(HAF[[#This Row],[Client Program Name]],Table6[], 6, FALSE), 0 )</f>
        <v>3849716</v>
      </c>
      <c r="K80" s="16">
        <f>IF(ISNUMBER(MATCH(HAF[[#This Row],[Client Program Name]],Table6[Client Program],0)), VLOOKUP(HAF[[#This Row],[Client Program Name]],Table6[], 7, FALSE), VLOOKUP(HAF[[#This Row],[Client Program Name]],Table2[], 7, FALSE) )</f>
        <v>121</v>
      </c>
      <c r="L80" s="16">
        <v>106</v>
      </c>
      <c r="M80" s="16">
        <f>IF(ISNUMBER(MATCH(HAF[[#This Row],[Client Program Name]],Table6[Client Program],0)), VLOOKUP(HAF[[#This Row],[Client Program Name]],Table6[], 9, FALSE), 0 )</f>
        <v>106</v>
      </c>
      <c r="N80" s="16">
        <f>IF(ISNUMBER(MATCH(HAF[[#This Row],[Client Program Name]],Table6[Client Program],0)), VLOOKUP(HAF[[#This Row],[Client Program Name]],Table6[], 10, FALSE), VLOOKUP(HAF[[#This Row],[Client Program Name]],Table2[], 8, FALSE) )</f>
        <v>227</v>
      </c>
      <c r="O80" s="16">
        <v>636</v>
      </c>
      <c r="P80" s="3"/>
      <c r="Q80" s="14"/>
    </row>
    <row r="81" spans="1:17" x14ac:dyDescent="0.35">
      <c r="A81" s="14" t="s">
        <v>248</v>
      </c>
      <c r="B81" s="14" t="str">
        <f>IF(HAF[[#This Row],[Program]]="Housing Accelerator Fund", "Round One", "Round Two")</f>
        <v>Round One</v>
      </c>
      <c r="C81" s="14" t="s">
        <v>109</v>
      </c>
      <c r="D81" s="14" t="s">
        <v>89</v>
      </c>
      <c r="E81" s="14" t="s">
        <v>17</v>
      </c>
      <c r="F81" s="14" t="s">
        <v>11</v>
      </c>
      <c r="G81" s="15">
        <v>45322</v>
      </c>
      <c r="H81" s="15" t="str">
        <f>MID(HAF[[#This Row],[Client Program Name]], SEARCH( "-",HAF[[#This Row],[Client Program Name]])+1,LEN(HAF[[#This Row],[Client Program Name]])-(SEARCH( "-",HAF[[#This Row],[Client Program Name]])-1))</f>
        <v xml:space="preserve"> Town of Sussex</v>
      </c>
      <c r="I81" s="16">
        <v>3215171</v>
      </c>
      <c r="J81" s="16">
        <f>IF(ISNUMBER(MATCH(HAF[[#This Row],[Client Program Name]],Table6[Client Program],0)), VLOOKUP(HAF[[#This Row],[Client Program Name]],Table6[], 6, FALSE), 0 )</f>
        <v>3215171</v>
      </c>
      <c r="K81" s="16">
        <f>IF(ISNUMBER(MATCH(HAF[[#This Row],[Client Program Name]],Table6[Client Program],0)), VLOOKUP(HAF[[#This Row],[Client Program Name]],Table6[], 7, FALSE), VLOOKUP(HAF[[#This Row],[Client Program Name]],Table2[], 7, FALSE) )</f>
        <v>186</v>
      </c>
      <c r="L81" s="16">
        <v>104</v>
      </c>
      <c r="M81" s="16">
        <f>IF(ISNUMBER(MATCH(HAF[[#This Row],[Client Program Name]],Table6[Client Program],0)), VLOOKUP(HAF[[#This Row],[Client Program Name]],Table6[], 9, FALSE), 0 )</f>
        <v>104</v>
      </c>
      <c r="N81" s="16">
        <f>IF(ISNUMBER(MATCH(HAF[[#This Row],[Client Program Name]],Table6[Client Program],0)), VLOOKUP(HAF[[#This Row],[Client Program Name]],Table6[], 10, FALSE), VLOOKUP(HAF[[#This Row],[Client Program Name]],Table2[], 8, FALSE) )</f>
        <v>290</v>
      </c>
      <c r="O81" s="16">
        <v>914</v>
      </c>
      <c r="P81" s="3"/>
      <c r="Q81" s="14"/>
    </row>
    <row r="82" spans="1:17" x14ac:dyDescent="0.35">
      <c r="A82" s="14" t="s">
        <v>248</v>
      </c>
      <c r="B82" s="14" t="str">
        <f>IF(HAF[[#This Row],[Program]]="Housing Accelerator Fund", "Round One", "Round Two")</f>
        <v>Round One</v>
      </c>
      <c r="C82" s="14" t="s">
        <v>92</v>
      </c>
      <c r="D82" s="14" t="s">
        <v>89</v>
      </c>
      <c r="E82" s="14" t="s">
        <v>17</v>
      </c>
      <c r="F82" s="14" t="s">
        <v>11</v>
      </c>
      <c r="G82" s="15">
        <v>45322</v>
      </c>
      <c r="H82" s="15" t="str">
        <f>MID(HAF[[#This Row],[Client Program Name]], SEARCH( "-",HAF[[#This Row],[Client Program Name]])+1,LEN(HAF[[#This Row],[Client Program Name]])-(SEARCH( "-",HAF[[#This Row],[Client Program Name]])-1))</f>
        <v xml:space="preserve"> Caraquet</v>
      </c>
      <c r="I82" s="16">
        <v>2964197.1</v>
      </c>
      <c r="J82" s="16">
        <f>IF(ISNUMBER(MATCH(HAF[[#This Row],[Client Program Name]],Table6[Client Program],0)), VLOOKUP(HAF[[#This Row],[Client Program Name]],Table6[], 6, FALSE), 0 )</f>
        <v>2695197</v>
      </c>
      <c r="K82" s="16">
        <f>IF(ISNUMBER(MATCH(HAF[[#This Row],[Client Program Name]],Table6[Client Program],0)), VLOOKUP(HAF[[#This Row],[Client Program Name]],Table6[], 7, FALSE), VLOOKUP(HAF[[#This Row],[Client Program Name]],Table2[], 7, FALSE) )</f>
        <v>57</v>
      </c>
      <c r="L82" s="16">
        <v>87</v>
      </c>
      <c r="M82" s="16">
        <f>IF(ISNUMBER(MATCH(HAF[[#This Row],[Client Program Name]],Table6[Client Program],0)), VLOOKUP(HAF[[#This Row],[Client Program Name]],Table6[], 9, FALSE), 0 )</f>
        <v>80</v>
      </c>
      <c r="N82" s="16">
        <f>IF(ISNUMBER(MATCH(HAF[[#This Row],[Client Program Name]],Table6[Client Program],0)), VLOOKUP(HAF[[#This Row],[Client Program Name]],Table6[], 10, FALSE), VLOOKUP(HAF[[#This Row],[Client Program Name]],Table2[], 8, FALSE) )</f>
        <v>144</v>
      </c>
      <c r="O82" s="16">
        <v>1375</v>
      </c>
      <c r="P82" s="3"/>
      <c r="Q82" s="14"/>
    </row>
    <row r="83" spans="1:17" x14ac:dyDescent="0.35">
      <c r="A83" s="14" t="s">
        <v>248</v>
      </c>
      <c r="B83" s="14" t="str">
        <f>IF(HAF[[#This Row],[Program]]="Housing Accelerator Fund", "Round One", "Round Two")</f>
        <v>Round One</v>
      </c>
      <c r="C83" s="14" t="s">
        <v>103</v>
      </c>
      <c r="D83" s="14" t="s">
        <v>89</v>
      </c>
      <c r="E83" s="14" t="s">
        <v>17</v>
      </c>
      <c r="F83" s="14" t="s">
        <v>11</v>
      </c>
      <c r="G83" s="15">
        <v>45320</v>
      </c>
      <c r="H83" s="15" t="str">
        <f>MID(HAF[[#This Row],[Client Program Name]], SEARCH( "-",HAF[[#This Row],[Client Program Name]])+1,LEN(HAF[[#This Row],[Client Program Name]])-(SEARCH( "-",HAF[[#This Row],[Client Program Name]])-1))</f>
        <v xml:space="preserve"> Shippagan</v>
      </c>
      <c r="I83" s="16">
        <v>2330500</v>
      </c>
      <c r="J83" s="16">
        <f>IF(ISNUMBER(MATCH(HAF[[#This Row],[Client Program Name]],Table6[Client Program],0)), VLOOKUP(HAF[[#This Row],[Client Program Name]],Table6[], 6, FALSE), 0 )</f>
        <v>2330500</v>
      </c>
      <c r="K83" s="16">
        <f>IF(ISNUMBER(MATCH(HAF[[#This Row],[Client Program Name]],Table6[Client Program],0)), VLOOKUP(HAF[[#This Row],[Client Program Name]],Table6[], 7, FALSE), VLOOKUP(HAF[[#This Row],[Client Program Name]],Table2[], 7, FALSE) )</f>
        <v>60</v>
      </c>
      <c r="L83" s="16">
        <v>65</v>
      </c>
      <c r="M83" s="16">
        <f>IF(ISNUMBER(MATCH(HAF[[#This Row],[Client Program Name]],Table6[Client Program],0)), VLOOKUP(HAF[[#This Row],[Client Program Name]],Table6[], 9, FALSE), 0 )</f>
        <v>65</v>
      </c>
      <c r="N83" s="16">
        <f>IF(ISNUMBER(MATCH(HAF[[#This Row],[Client Program Name]],Table6[Client Program],0)), VLOOKUP(HAF[[#This Row],[Client Program Name]],Table6[], 10, FALSE), VLOOKUP(HAF[[#This Row],[Client Program Name]],Table2[], 8, FALSE) )</f>
        <v>125</v>
      </c>
      <c r="O83" s="16">
        <v>560</v>
      </c>
      <c r="P83" s="3"/>
      <c r="Q83" s="14"/>
    </row>
    <row r="84" spans="1:17" x14ac:dyDescent="0.35">
      <c r="A84" s="14" t="s">
        <v>248</v>
      </c>
      <c r="B84" s="14" t="str">
        <f>IF(HAF[[#This Row],[Program]]="Housing Accelerator Fund", "Round One", "Round Two")</f>
        <v>Round One</v>
      </c>
      <c r="C84" s="14" t="s">
        <v>98</v>
      </c>
      <c r="D84" s="14" t="s">
        <v>89</v>
      </c>
      <c r="E84" s="14" t="s">
        <v>17</v>
      </c>
      <c r="F84" s="14" t="s">
        <v>11</v>
      </c>
      <c r="G84" s="15">
        <v>45324</v>
      </c>
      <c r="H84" s="15" t="str">
        <f>MID(HAF[[#This Row],[Client Program Name]], SEARCH( "-",HAF[[#This Row],[Client Program Name]])+1,LEN(HAF[[#This Row],[Client Program Name]])-(SEARCH( "-",HAF[[#This Row],[Client Program Name]])-1))</f>
        <v xml:space="preserve"> Harvey Rural Community</v>
      </c>
      <c r="I84" s="16">
        <v>840000</v>
      </c>
      <c r="J84" s="16">
        <f>IF(ISNUMBER(MATCH(HAF[[#This Row],[Client Program Name]],Table6[Client Program],0)), VLOOKUP(HAF[[#This Row],[Client Program Name]],Table6[], 6, FALSE), 0 )</f>
        <v>840000</v>
      </c>
      <c r="K84" s="16">
        <f>IF(ISNUMBER(MATCH(HAF[[#This Row],[Client Program Name]],Table6[Client Program],0)), VLOOKUP(HAF[[#This Row],[Client Program Name]],Table6[], 7, FALSE), VLOOKUP(HAF[[#This Row],[Client Program Name]],Table2[], 7, FALSE) )</f>
        <v>143</v>
      </c>
      <c r="L84" s="16">
        <v>33</v>
      </c>
      <c r="M84" s="16">
        <f>IF(ISNUMBER(MATCH(HAF[[#This Row],[Client Program Name]],Table6[Client Program],0)), VLOOKUP(HAF[[#This Row],[Client Program Name]],Table6[], 9, FALSE), 0 )</f>
        <v>33</v>
      </c>
      <c r="N84" s="16">
        <f>IF(ISNUMBER(MATCH(HAF[[#This Row],[Client Program Name]],Table6[Client Program],0)), VLOOKUP(HAF[[#This Row],[Client Program Name]],Table6[], 10, FALSE), VLOOKUP(HAF[[#This Row],[Client Program Name]],Table2[], 8, FALSE) )</f>
        <v>176</v>
      </c>
      <c r="O84" s="16">
        <v>114</v>
      </c>
      <c r="P84" s="3"/>
      <c r="Q84" s="14"/>
    </row>
    <row r="85" spans="1:17" x14ac:dyDescent="0.35">
      <c r="A85" s="14" t="s">
        <v>248</v>
      </c>
      <c r="B85" s="14" t="str">
        <f>IF(HAF[[#This Row],[Program]]="Housing Accelerator Fund", "Round One", "Round Two")</f>
        <v>Round One</v>
      </c>
      <c r="C85" s="14" t="s">
        <v>97</v>
      </c>
      <c r="D85" s="14" t="s">
        <v>89</v>
      </c>
      <c r="E85" s="14" t="s">
        <v>17</v>
      </c>
      <c r="F85" s="14" t="s">
        <v>11</v>
      </c>
      <c r="G85" s="15">
        <v>45317</v>
      </c>
      <c r="H85" s="15" t="str">
        <f>MID(HAF[[#This Row],[Client Program Name]], SEARCH( "-",HAF[[#This Row],[Client Program Name]])+1,LEN(HAF[[#This Row],[Client Program Name]])-(SEARCH( "-",HAF[[#This Row],[Client Program Name]])-1))</f>
        <v xml:space="preserve"> Grand-Bouctouche</v>
      </c>
      <c r="I85" s="16">
        <v>3170076</v>
      </c>
      <c r="J85" s="16">
        <f>IF(ISNUMBER(MATCH(HAF[[#This Row],[Client Program Name]],Table6[Client Program],0)), VLOOKUP(HAF[[#This Row],[Client Program Name]],Table6[], 6, FALSE), 0 )</f>
        <v>2886076</v>
      </c>
      <c r="K85" s="16">
        <f>IF(ISNUMBER(MATCH(HAF[[#This Row],[Client Program Name]],Table6[Client Program],0)), VLOOKUP(HAF[[#This Row],[Client Program Name]],Table6[], 7, FALSE), VLOOKUP(HAF[[#This Row],[Client Program Name]],Table2[], 7, FALSE) )</f>
        <v>90</v>
      </c>
      <c r="L85" s="16">
        <v>92</v>
      </c>
      <c r="M85" s="16">
        <f>IF(ISNUMBER(MATCH(HAF[[#This Row],[Client Program Name]],Table6[Client Program],0)), VLOOKUP(HAF[[#This Row],[Client Program Name]],Table6[], 9, FALSE), 0 )</f>
        <v>82</v>
      </c>
      <c r="N85" s="16">
        <f>IF(ISNUMBER(MATCH(HAF[[#This Row],[Client Program Name]],Table6[Client Program],0)), VLOOKUP(HAF[[#This Row],[Client Program Name]],Table6[], 10, FALSE), VLOOKUP(HAF[[#This Row],[Client Program Name]],Table2[], 8, FALSE) )</f>
        <v>182</v>
      </c>
      <c r="O85" s="16">
        <v>1291</v>
      </c>
      <c r="P85" s="3"/>
      <c r="Q85" s="14"/>
    </row>
    <row r="86" spans="1:17" x14ac:dyDescent="0.35">
      <c r="A86" s="14" t="s">
        <v>248</v>
      </c>
      <c r="B86" s="14" t="str">
        <f>IF(HAF[[#This Row],[Program]]="Housing Accelerator Fund", "Round One", "Round Two")</f>
        <v>Round One</v>
      </c>
      <c r="C86" s="14" t="s">
        <v>99</v>
      </c>
      <c r="D86" s="14" t="s">
        <v>89</v>
      </c>
      <c r="E86" s="14" t="s">
        <v>17</v>
      </c>
      <c r="F86" s="14" t="s">
        <v>100</v>
      </c>
      <c r="G86" s="15">
        <v>45316</v>
      </c>
      <c r="H86" s="15" t="str">
        <f>MID(HAF[[#This Row],[Client Program Name]], SEARCH( "-",HAF[[#This Row],[Client Program Name]])+1,LEN(HAF[[#This Row],[Client Program Name]])-(SEARCH( "-",HAF[[#This Row],[Client Program Name]])-1))</f>
        <v xml:space="preserve"> Indian Island</v>
      </c>
      <c r="I86" s="16">
        <v>400000</v>
      </c>
      <c r="J86" s="16">
        <f>IF(ISNUMBER(MATCH(HAF[[#This Row],[Client Program Name]],Table6[Client Program],0)), VLOOKUP(HAF[[#This Row],[Client Program Name]],Table6[], 6, FALSE), 0 )</f>
        <v>400000</v>
      </c>
      <c r="K86" s="16">
        <f>IF(ISNUMBER(MATCH(HAF[[#This Row],[Client Program Name]],Table6[Client Program],0)), VLOOKUP(HAF[[#This Row],[Client Program Name]],Table6[], 7, FALSE), VLOOKUP(HAF[[#This Row],[Client Program Name]],Table2[], 7, FALSE) )</f>
        <v>3</v>
      </c>
      <c r="L86" s="16">
        <v>10</v>
      </c>
      <c r="M86" s="16">
        <f>IF(ISNUMBER(MATCH(HAF[[#This Row],[Client Program Name]],Table6[Client Program],0)), VLOOKUP(HAF[[#This Row],[Client Program Name]],Table6[], 9, FALSE), 0 )</f>
        <v>10</v>
      </c>
      <c r="N86" s="16">
        <f>IF(ISNUMBER(MATCH(HAF[[#This Row],[Client Program Name]],Table6[Client Program],0)), VLOOKUP(HAF[[#This Row],[Client Program Name]],Table6[], 10, FALSE), VLOOKUP(HAF[[#This Row],[Client Program Name]],Table2[], 8, FALSE) )</f>
        <v>13</v>
      </c>
      <c r="O86" s="16">
        <v>43</v>
      </c>
      <c r="P86" s="3"/>
      <c r="Q86" s="14"/>
    </row>
    <row r="87" spans="1:17" x14ac:dyDescent="0.35">
      <c r="A87" s="14" t="s">
        <v>248</v>
      </c>
      <c r="B87" s="14" t="str">
        <f>IF(HAF[[#This Row],[Program]]="Housing Accelerator Fund", "Round One", "Round Two")</f>
        <v>Round One</v>
      </c>
      <c r="C87" s="14" t="s">
        <v>88</v>
      </c>
      <c r="D87" s="14" t="s">
        <v>89</v>
      </c>
      <c r="E87" s="14" t="s">
        <v>17</v>
      </c>
      <c r="F87" s="14" t="s">
        <v>18</v>
      </c>
      <c r="G87" s="15">
        <v>45323</v>
      </c>
      <c r="H87" s="15" t="str">
        <f>MID(HAF[[#This Row],[Client Program Name]], SEARCH( "-",HAF[[#This Row],[Client Program Name]])+1,LEN(HAF[[#This Row],[Client Program Name]])-(SEARCH( "-",HAF[[#This Row],[Client Program Name]])-1))</f>
        <v xml:space="preserve"> Bilijk</v>
      </c>
      <c r="I87" s="16">
        <v>838000</v>
      </c>
      <c r="J87" s="16">
        <f>IF(ISNUMBER(MATCH(HAF[[#This Row],[Client Program Name]],Table6[Client Program],0)), VLOOKUP(HAF[[#This Row],[Client Program Name]],Table6[], 6, FALSE), 0 )</f>
        <v>767000</v>
      </c>
      <c r="K87" s="16">
        <f>IF(ISNUMBER(MATCH(HAF[[#This Row],[Client Program Name]],Table6[Client Program],0)), VLOOKUP(HAF[[#This Row],[Client Program Name]],Table6[], 7, FALSE), VLOOKUP(HAF[[#This Row],[Client Program Name]],Table2[], 7, FALSE) )</f>
        <v>18</v>
      </c>
      <c r="L87" s="16">
        <v>14</v>
      </c>
      <c r="M87" s="16">
        <f>IF(ISNUMBER(MATCH(HAF[[#This Row],[Client Program Name]],Table6[Client Program],0)), VLOOKUP(HAF[[#This Row],[Client Program Name]],Table6[], 9, FALSE), 0 )</f>
        <v>13</v>
      </c>
      <c r="N87" s="16">
        <f>IF(ISNUMBER(MATCH(HAF[[#This Row],[Client Program Name]],Table6[Client Program],0)), VLOOKUP(HAF[[#This Row],[Client Program Name]],Table6[], 10, FALSE), VLOOKUP(HAF[[#This Row],[Client Program Name]],Table2[], 8, FALSE) )</f>
        <v>32</v>
      </c>
      <c r="O87" s="16">
        <v>82</v>
      </c>
      <c r="P87" s="3"/>
      <c r="Q87" s="14"/>
    </row>
    <row r="88" spans="1:17" x14ac:dyDescent="0.35">
      <c r="A88" s="14" t="s">
        <v>248</v>
      </c>
      <c r="B88" s="14" t="str">
        <f>IF(HAF[[#This Row],[Program]]="Housing Accelerator Fund", "Round One", "Round Two")</f>
        <v>Round One</v>
      </c>
      <c r="C88" s="14" t="s">
        <v>104</v>
      </c>
      <c r="D88" s="14" t="s">
        <v>89</v>
      </c>
      <c r="E88" s="14" t="s">
        <v>17</v>
      </c>
      <c r="F88" s="14" t="s">
        <v>18</v>
      </c>
      <c r="G88" s="15">
        <v>45300</v>
      </c>
      <c r="H88" s="15" t="str">
        <f>MID(HAF[[#This Row],[Client Program Name]], SEARCH( "-",HAF[[#This Row],[Client Program Name]])+1,LEN(HAF[[#This Row],[Client Program Name]])-(SEARCH( "-",HAF[[#This Row],[Client Program Name]])-1))</f>
        <v xml:space="preserve"> Tobique First Nation</v>
      </c>
      <c r="I88" s="16">
        <v>1205000</v>
      </c>
      <c r="J88" s="16">
        <f>IF(ISNUMBER(MATCH(HAF[[#This Row],[Client Program Name]],Table6[Client Program],0)), VLOOKUP(HAF[[#This Row],[Client Program Name]],Table6[], 6, FALSE), 0 )</f>
        <v>1063000</v>
      </c>
      <c r="K88" s="16">
        <f>IF(ISNUMBER(MATCH(HAF[[#This Row],[Client Program Name]],Table6[Client Program],0)), VLOOKUP(HAF[[#This Row],[Client Program Name]],Table6[], 7, FALSE), VLOOKUP(HAF[[#This Row],[Client Program Name]],Table2[], 7, FALSE) )</f>
        <v>30</v>
      </c>
      <c r="L88" s="16">
        <v>19</v>
      </c>
      <c r="M88" s="16">
        <f>IF(ISNUMBER(MATCH(HAF[[#This Row],[Client Program Name]],Table6[Client Program],0)), VLOOKUP(HAF[[#This Row],[Client Program Name]],Table6[], 9, FALSE), 0 )</f>
        <v>17</v>
      </c>
      <c r="N88" s="16">
        <f>IF(ISNUMBER(MATCH(HAF[[#This Row],[Client Program Name]],Table6[Client Program],0)), VLOOKUP(HAF[[#This Row],[Client Program Name]],Table6[], 10, FALSE), VLOOKUP(HAF[[#This Row],[Client Program Name]],Table2[], 8, FALSE) )</f>
        <v>49</v>
      </c>
      <c r="O88" s="16">
        <v>78</v>
      </c>
      <c r="P88" s="3"/>
      <c r="Q88" s="14"/>
    </row>
    <row r="89" spans="1:17" x14ac:dyDescent="0.35">
      <c r="A89" s="14" t="s">
        <v>249</v>
      </c>
      <c r="B89" s="14" t="str">
        <f>IF(HAF[[#This Row],[Program]]="Housing Accelerator Fund", "Round One", "Round Two")</f>
        <v>Round Two</v>
      </c>
      <c r="C89" s="14" t="s">
        <v>267</v>
      </c>
      <c r="D89" s="14" t="s">
        <v>89</v>
      </c>
      <c r="E89" s="14" t="s">
        <v>10</v>
      </c>
      <c r="F89" s="14" t="s">
        <v>11</v>
      </c>
      <c r="G89" s="15">
        <v>45643</v>
      </c>
      <c r="H89" s="15" t="str">
        <f>MID(HAF[[#This Row],[Client Program Name]], SEARCH( "-",HAF[[#This Row],[Client Program Name]])+1,LEN(HAF[[#This Row],[Client Program Name]])-(SEARCH( "-",HAF[[#This Row],[Client Program Name]])-1))</f>
        <v xml:space="preserve"> Ville de Dieppe</v>
      </c>
      <c r="I89" s="16">
        <v>7270660</v>
      </c>
      <c r="J89" s="16">
        <f>IF(ISNUMBER(MATCH(HAF[[#This Row],[Client Program Name]],Table6[Client Program],0)), VLOOKUP(HAF[[#This Row],[Client Program Name]],Table6[], 6, FALSE), 0 )</f>
        <v>0</v>
      </c>
      <c r="K89" s="16">
        <f>IF(ISNUMBER(MATCH(HAF[[#This Row],[Client Program Name]],Table6[Client Program],0)), VLOOKUP(HAF[[#This Row],[Client Program Name]],Table6[], 7, FALSE), VLOOKUP(HAF[[#This Row],[Client Program Name]],Table2[], 7, FALSE) )</f>
        <v>2187</v>
      </c>
      <c r="L89" s="16">
        <v>220</v>
      </c>
      <c r="M89" s="16">
        <f>IF(ISNUMBER(MATCH(HAF[[#This Row],[Client Program Name]],Table6[Client Program],0)), VLOOKUP(HAF[[#This Row],[Client Program Name]],Table6[], 9, FALSE), 0 )</f>
        <v>0</v>
      </c>
      <c r="N89" s="16">
        <f>IF(ISNUMBER(MATCH(HAF[[#This Row],[Client Program Name]],Table6[Client Program],0)), VLOOKUP(HAF[[#This Row],[Client Program Name]],Table6[], 10, FALSE), VLOOKUP(HAF[[#This Row],[Client Program Name]],Table2[], 8, FALSE) )</f>
        <v>2407</v>
      </c>
      <c r="O89" s="16">
        <v>3700</v>
      </c>
      <c r="P89" s="3"/>
      <c r="Q89" s="14"/>
    </row>
    <row r="90" spans="1:17" x14ac:dyDescent="0.35">
      <c r="A90" s="14" t="s">
        <v>249</v>
      </c>
      <c r="B90" s="14" t="str">
        <f>IF(HAF[[#This Row],[Program]]="Housing Accelerator Fund", "Round One", "Round Two")</f>
        <v>Round Two</v>
      </c>
      <c r="C90" s="14" t="s">
        <v>268</v>
      </c>
      <c r="D90" s="14" t="s">
        <v>89</v>
      </c>
      <c r="E90" s="14" t="s">
        <v>10</v>
      </c>
      <c r="F90" s="14" t="s">
        <v>11</v>
      </c>
      <c r="G90" s="15">
        <v>45667</v>
      </c>
      <c r="H90" s="15" t="str">
        <f>MID(HAF[[#This Row],[Client Program Name]], SEARCH( "-",HAF[[#This Row],[Client Program Name]])+1,LEN(HAF[[#This Row],[Client Program Name]])-(SEARCH( "-",HAF[[#This Row],[Client Program Name]])-1))</f>
        <v xml:space="preserve"> Ville de Belle-Baie</v>
      </c>
      <c r="I90" s="16">
        <v>4396323</v>
      </c>
      <c r="J90" s="16">
        <f>IF(ISNUMBER(MATCH(HAF[[#This Row],[Client Program Name]],Table6[Client Program],0)), VLOOKUP(HAF[[#This Row],[Client Program Name]],Table6[], 6, FALSE), 0 )</f>
        <v>0</v>
      </c>
      <c r="K90" s="16">
        <f>IF(ISNUMBER(MATCH(HAF[[#This Row],[Client Program Name]],Table6[Client Program],0)), VLOOKUP(HAF[[#This Row],[Client Program Name]],Table6[], 7, FALSE), VLOOKUP(HAF[[#This Row],[Client Program Name]],Table2[], 7, FALSE) )</f>
        <v>168</v>
      </c>
      <c r="L90" s="16">
        <v>102</v>
      </c>
      <c r="M90" s="16">
        <f>IF(ISNUMBER(MATCH(HAF[[#This Row],[Client Program Name]],Table6[Client Program],0)), VLOOKUP(HAF[[#This Row],[Client Program Name]],Table6[], 9, FALSE), 0 )</f>
        <v>0</v>
      </c>
      <c r="N90" s="16">
        <f>IF(ISNUMBER(MATCH(HAF[[#This Row],[Client Program Name]],Table6[Client Program],0)), VLOOKUP(HAF[[#This Row],[Client Program Name]],Table6[], 10, FALSE), VLOOKUP(HAF[[#This Row],[Client Program Name]],Table2[], 8, FALSE) )</f>
        <v>270</v>
      </c>
      <c r="O90" s="16">
        <v>482</v>
      </c>
      <c r="P90" s="3"/>
      <c r="Q90" s="14"/>
    </row>
    <row r="91" spans="1:17" x14ac:dyDescent="0.35">
      <c r="A91" s="14" t="s">
        <v>249</v>
      </c>
      <c r="B91" s="14" t="str">
        <f>IF(HAF[[#This Row],[Program]]="Housing Accelerator Fund", "Round One", "Round Two")</f>
        <v>Round Two</v>
      </c>
      <c r="C91" s="14" t="s">
        <v>269</v>
      </c>
      <c r="D91" s="14" t="s">
        <v>89</v>
      </c>
      <c r="E91" s="14" t="s">
        <v>10</v>
      </c>
      <c r="F91" s="14" t="s">
        <v>11</v>
      </c>
      <c r="G91" s="15">
        <v>45716</v>
      </c>
      <c r="H91" s="15" t="str">
        <f>MID(HAF[[#This Row],[Client Program Name]], SEARCH( "-",HAF[[#This Row],[Client Program Name]])+1,LEN(HAF[[#This Row],[Client Program Name]])-(SEARCH( "-",HAF[[#This Row],[Client Program Name]])-1))</f>
        <v xml:space="preserve"> City of Miramichi</v>
      </c>
      <c r="I91" s="16">
        <v>3124743.5</v>
      </c>
      <c r="J91" s="16">
        <f>IF(ISNUMBER(MATCH(HAF[[#This Row],[Client Program Name]],Table6[Client Program],0)), VLOOKUP(HAF[[#This Row],[Client Program Name]],Table6[], 6, FALSE), 0 )</f>
        <v>0</v>
      </c>
      <c r="K91" s="16">
        <f>IF(ISNUMBER(MATCH(HAF[[#This Row],[Client Program Name]],Table6[Client Program],0)), VLOOKUP(HAF[[#This Row],[Client Program Name]],Table6[], 7, FALSE), VLOOKUP(HAF[[#This Row],[Client Program Name]],Table2[], 7, FALSE) )</f>
        <v>376</v>
      </c>
      <c r="L91" s="16">
        <v>109</v>
      </c>
      <c r="M91" s="16">
        <f>IF(ISNUMBER(MATCH(HAF[[#This Row],[Client Program Name]],Table6[Client Program],0)), VLOOKUP(HAF[[#This Row],[Client Program Name]],Table6[], 9, FALSE), 0 )</f>
        <v>0</v>
      </c>
      <c r="N91" s="16">
        <f>IF(ISNUMBER(MATCH(HAF[[#This Row],[Client Program Name]],Table6[Client Program],0)), VLOOKUP(HAF[[#This Row],[Client Program Name]],Table6[], 10, FALSE), VLOOKUP(HAF[[#This Row],[Client Program Name]],Table2[], 8, FALSE) )</f>
        <v>485</v>
      </c>
      <c r="O91" s="16">
        <v>1080</v>
      </c>
      <c r="P91" s="3"/>
      <c r="Q91" s="14"/>
    </row>
    <row r="92" spans="1:17" x14ac:dyDescent="0.35">
      <c r="A92" s="14" t="s">
        <v>249</v>
      </c>
      <c r="B92" s="14" t="str">
        <f>IF(HAF[[#This Row],[Program]]="Housing Accelerator Fund", "Round One", "Round Two")</f>
        <v>Round Two</v>
      </c>
      <c r="C92" s="14" t="s">
        <v>270</v>
      </c>
      <c r="D92" s="14" t="s">
        <v>89</v>
      </c>
      <c r="E92" s="14" t="s">
        <v>17</v>
      </c>
      <c r="F92" s="14" t="s">
        <v>11</v>
      </c>
      <c r="G92" s="15">
        <v>45666</v>
      </c>
      <c r="H92" s="15" t="str">
        <f>MID(HAF[[#This Row],[Client Program Name]], SEARCH( "-",HAF[[#This Row],[Client Program Name]])+1,LEN(HAF[[#This Row],[Client Program Name]])-(SEARCH( "-",HAF[[#This Row],[Client Program Name]])-1))</f>
        <v xml:space="preserve"> Nackawic-Millville Rural Community</v>
      </c>
      <c r="I92" s="16">
        <v>1692000</v>
      </c>
      <c r="J92" s="16">
        <f>IF(ISNUMBER(MATCH(HAF[[#This Row],[Client Program Name]],Table6[Client Program],0)), VLOOKUP(HAF[[#This Row],[Client Program Name]],Table6[], 6, FALSE), 0 )</f>
        <v>0</v>
      </c>
      <c r="K92" s="16">
        <f>IF(ISNUMBER(MATCH(HAF[[#This Row],[Client Program Name]],Table6[Client Program],0)), VLOOKUP(HAF[[#This Row],[Client Program Name]],Table6[], 7, FALSE), VLOOKUP(HAF[[#This Row],[Client Program Name]],Table2[], 7, FALSE) )</f>
        <v>55</v>
      </c>
      <c r="L92" s="16">
        <v>60</v>
      </c>
      <c r="M92" s="16">
        <f>IF(ISNUMBER(MATCH(HAF[[#This Row],[Client Program Name]],Table6[Client Program],0)), VLOOKUP(HAF[[#This Row],[Client Program Name]],Table6[], 9, FALSE), 0 )</f>
        <v>0</v>
      </c>
      <c r="N92" s="16">
        <f>IF(ISNUMBER(MATCH(HAF[[#This Row],[Client Program Name]],Table6[Client Program],0)), VLOOKUP(HAF[[#This Row],[Client Program Name]],Table6[], 10, FALSE), VLOOKUP(HAF[[#This Row],[Client Program Name]],Table2[], 8, FALSE) )</f>
        <v>115</v>
      </c>
      <c r="O92" s="16">
        <v>401</v>
      </c>
      <c r="P92" s="3"/>
      <c r="Q92" s="14"/>
    </row>
    <row r="93" spans="1:17" x14ac:dyDescent="0.35">
      <c r="A93" s="14" t="s">
        <v>249</v>
      </c>
      <c r="B93" s="14" t="str">
        <f>IF(HAF[[#This Row],[Program]]="Housing Accelerator Fund", "Round One", "Round Two")</f>
        <v>Round Two</v>
      </c>
      <c r="C93" s="14" t="s">
        <v>271</v>
      </c>
      <c r="D93" s="14" t="s">
        <v>89</v>
      </c>
      <c r="E93" s="14" t="s">
        <v>17</v>
      </c>
      <c r="F93" s="14" t="s">
        <v>11</v>
      </c>
      <c r="G93" s="15">
        <v>45670</v>
      </c>
      <c r="H93" s="15" t="str">
        <f>MID(HAF[[#This Row],[Client Program Name]], SEARCH( "-",HAF[[#This Row],[Client Program Name]])+1,LEN(HAF[[#This Row],[Client Program Name]])-(SEARCH( "-",HAF[[#This Row],[Client Program Name]])-1))</f>
        <v xml:space="preserve"> Municipalité des Hautes-Terres</v>
      </c>
      <c r="I93" s="16">
        <v>2374620.2999999998</v>
      </c>
      <c r="J93" s="16">
        <f>IF(ISNUMBER(MATCH(HAF[[#This Row],[Client Program Name]],Table6[Client Program],0)), VLOOKUP(HAF[[#This Row],[Client Program Name]],Table6[], 6, FALSE), 0 )</f>
        <v>0</v>
      </c>
      <c r="K93" s="16">
        <f>IF(ISNUMBER(MATCH(HAF[[#This Row],[Client Program Name]],Table6[Client Program],0)), VLOOKUP(HAF[[#This Row],[Client Program Name]],Table6[], 7, FALSE), VLOOKUP(HAF[[#This Row],[Client Program Name]],Table2[], 7, FALSE) )</f>
        <v>70</v>
      </c>
      <c r="L93" s="16">
        <v>63</v>
      </c>
      <c r="M93" s="16">
        <f>IF(ISNUMBER(MATCH(HAF[[#This Row],[Client Program Name]],Table6[Client Program],0)), VLOOKUP(HAF[[#This Row],[Client Program Name]],Table6[], 9, FALSE), 0 )</f>
        <v>0</v>
      </c>
      <c r="N93" s="16">
        <f>IF(ISNUMBER(MATCH(HAF[[#This Row],[Client Program Name]],Table6[Client Program],0)), VLOOKUP(HAF[[#This Row],[Client Program Name]],Table6[], 10, FALSE), VLOOKUP(HAF[[#This Row],[Client Program Name]],Table2[], 8, FALSE) )</f>
        <v>133</v>
      </c>
      <c r="O93" s="16">
        <v>500</v>
      </c>
      <c r="P93" s="3"/>
      <c r="Q93" s="14"/>
    </row>
    <row r="94" spans="1:17" x14ac:dyDescent="0.35">
      <c r="A94" s="14" t="s">
        <v>248</v>
      </c>
      <c r="B94" s="14" t="str">
        <f>IF(HAF[[#This Row],[Program]]="Housing Accelerator Fund", "Round One", "Round Two")</f>
        <v>Round One</v>
      </c>
      <c r="C94" s="14" t="s">
        <v>117</v>
      </c>
      <c r="D94" s="14" t="s">
        <v>112</v>
      </c>
      <c r="E94" s="14" t="s">
        <v>10</v>
      </c>
      <c r="F94" s="14" t="s">
        <v>11</v>
      </c>
      <c r="G94" s="15">
        <v>45338</v>
      </c>
      <c r="H94" s="15" t="str">
        <f>MID(HAF[[#This Row],[Client Program Name]], SEARCH( "-",HAF[[#This Row],[Client Program Name]])+1,LEN(HAF[[#This Row],[Client Program Name]])-(SEARCH( "-",HAF[[#This Row],[Client Program Name]])-1))</f>
        <v xml:space="preserve"> Town of Grand Falls-Windsor</v>
      </c>
      <c r="I94" s="16">
        <v>4606144.4000000004</v>
      </c>
      <c r="J94" s="16">
        <f>IF(ISNUMBER(MATCH(HAF[[#This Row],[Client Program Name]],Table6[Client Program],0)), VLOOKUP(HAF[[#This Row],[Client Program Name]],Table6[], 6, FALSE), 0 )</f>
        <v>4606144</v>
      </c>
      <c r="K94" s="16">
        <f>IF(ISNUMBER(MATCH(HAF[[#This Row],[Client Program Name]],Table6[Client Program],0)), VLOOKUP(HAF[[#This Row],[Client Program Name]],Table6[], 7, FALSE), VLOOKUP(HAF[[#This Row],[Client Program Name]],Table2[], 7, FALSE) )</f>
        <v>53</v>
      </c>
      <c r="L94" s="16">
        <v>145</v>
      </c>
      <c r="M94" s="16">
        <f>IF(ISNUMBER(MATCH(HAF[[#This Row],[Client Program Name]],Table6[Client Program],0)), VLOOKUP(HAF[[#This Row],[Client Program Name]],Table6[], 9, FALSE), 0 )</f>
        <v>145</v>
      </c>
      <c r="N94" s="16">
        <f>IF(ISNUMBER(MATCH(HAF[[#This Row],[Client Program Name]],Table6[Client Program],0)), VLOOKUP(HAF[[#This Row],[Client Program Name]],Table6[], 10, FALSE), VLOOKUP(HAF[[#This Row],[Client Program Name]],Table2[], 8, FALSE) )</f>
        <v>198</v>
      </c>
      <c r="O94" s="16">
        <v>1117</v>
      </c>
      <c r="P94" s="3"/>
      <c r="Q94" s="14"/>
    </row>
    <row r="95" spans="1:17" x14ac:dyDescent="0.35">
      <c r="A95" s="14" t="s">
        <v>248</v>
      </c>
      <c r="B95" s="14" t="str">
        <f>IF(HAF[[#This Row],[Program]]="Housing Accelerator Fund", "Round One", "Round Two")</f>
        <v>Round One</v>
      </c>
      <c r="C95" s="14" t="s">
        <v>116</v>
      </c>
      <c r="D95" s="14" t="s">
        <v>112</v>
      </c>
      <c r="E95" s="14" t="s">
        <v>10</v>
      </c>
      <c r="F95" s="14" t="s">
        <v>11</v>
      </c>
      <c r="G95" s="15">
        <v>45338</v>
      </c>
      <c r="H95" s="15" t="str">
        <f>MID(HAF[[#This Row],[Client Program Name]], SEARCH( "-",HAF[[#This Row],[Client Program Name]])+1,LEN(HAF[[#This Row],[Client Program Name]])-(SEARCH( "-",HAF[[#This Row],[Client Program Name]])-1))</f>
        <v xml:space="preserve"> Town of Gander</v>
      </c>
      <c r="I95" s="16">
        <v>4350000</v>
      </c>
      <c r="J95" s="16">
        <f>IF(ISNUMBER(MATCH(HAF[[#This Row],[Client Program Name]],Table6[Client Program],0)), VLOOKUP(HAF[[#This Row],[Client Program Name]],Table6[], 6, FALSE), 0 )</f>
        <v>4350000</v>
      </c>
      <c r="K95" s="16">
        <f>IF(ISNUMBER(MATCH(HAF[[#This Row],[Client Program Name]],Table6[Client Program],0)), VLOOKUP(HAF[[#This Row],[Client Program Name]],Table6[], 7, FALSE), VLOOKUP(HAF[[#This Row],[Client Program Name]],Table2[], 7, FALSE) )</f>
        <v>90</v>
      </c>
      <c r="L95" s="16">
        <v>110</v>
      </c>
      <c r="M95" s="16">
        <f>IF(ISNUMBER(MATCH(HAF[[#This Row],[Client Program Name]],Table6[Client Program],0)), VLOOKUP(HAF[[#This Row],[Client Program Name]],Table6[], 9, FALSE), 0 )</f>
        <v>110</v>
      </c>
      <c r="N95" s="16">
        <f>IF(ISNUMBER(MATCH(HAF[[#This Row],[Client Program Name]],Table6[Client Program],0)), VLOOKUP(HAF[[#This Row],[Client Program Name]],Table6[], 10, FALSE), VLOOKUP(HAF[[#This Row],[Client Program Name]],Table2[], 8, FALSE) )</f>
        <v>200</v>
      </c>
      <c r="O95" s="16">
        <v>750</v>
      </c>
      <c r="P95" s="3"/>
      <c r="Q95" s="14"/>
    </row>
    <row r="96" spans="1:17" x14ac:dyDescent="0.35">
      <c r="A96" s="14" t="s">
        <v>248</v>
      </c>
      <c r="B96" s="14" t="str">
        <f>IF(HAF[[#This Row],[Program]]="Housing Accelerator Fund", "Round One", "Round Two")</f>
        <v>Round One</v>
      </c>
      <c r="C96" s="14" t="s">
        <v>111</v>
      </c>
      <c r="D96" s="14" t="s">
        <v>112</v>
      </c>
      <c r="E96" s="14" t="s">
        <v>10</v>
      </c>
      <c r="F96" s="14" t="s">
        <v>11</v>
      </c>
      <c r="G96" s="15">
        <v>45334</v>
      </c>
      <c r="H96" s="15" t="str">
        <f>MID(HAF[[#This Row],[Client Program Name]], SEARCH( "-",HAF[[#This Row],[Client Program Name]])+1,LEN(HAF[[#This Row],[Client Program Name]])-(SEARCH( "-",HAF[[#This Row],[Client Program Name]])-1))</f>
        <v xml:space="preserve"> City of Mount Pearl</v>
      </c>
      <c r="I96" s="16">
        <v>6142076</v>
      </c>
      <c r="J96" s="16">
        <f>IF(ISNUMBER(MATCH(HAF[[#This Row],[Client Program Name]],Table6[Client Program],0)), VLOOKUP(HAF[[#This Row],[Client Program Name]],Table6[], 6, FALSE), 0 )</f>
        <v>6142076</v>
      </c>
      <c r="K96" s="16">
        <f>IF(ISNUMBER(MATCH(HAF[[#This Row],[Client Program Name]],Table6[Client Program],0)), VLOOKUP(HAF[[#This Row],[Client Program Name]],Table6[], 7, FALSE), VLOOKUP(HAF[[#This Row],[Client Program Name]],Table2[], 7, FALSE) )</f>
        <v>203</v>
      </c>
      <c r="L96" s="16">
        <v>183</v>
      </c>
      <c r="M96" s="16">
        <f>IF(ISNUMBER(MATCH(HAF[[#This Row],[Client Program Name]],Table6[Client Program],0)), VLOOKUP(HAF[[#This Row],[Client Program Name]],Table6[], 9, FALSE), 0 )</f>
        <v>183</v>
      </c>
      <c r="N96" s="16">
        <f>IF(ISNUMBER(MATCH(HAF[[#This Row],[Client Program Name]],Table6[Client Program],0)), VLOOKUP(HAF[[#This Row],[Client Program Name]],Table6[], 10, FALSE), VLOOKUP(HAF[[#This Row],[Client Program Name]],Table2[], 8, FALSE) )</f>
        <v>386</v>
      </c>
      <c r="O96" s="16">
        <v>2000</v>
      </c>
      <c r="P96" s="3"/>
      <c r="Q96" s="14"/>
    </row>
    <row r="97" spans="1:17" x14ac:dyDescent="0.35">
      <c r="A97" s="14" t="s">
        <v>248</v>
      </c>
      <c r="B97" s="14" t="str">
        <f>IF(HAF[[#This Row],[Program]]="Housing Accelerator Fund", "Round One", "Round Two")</f>
        <v>Round One</v>
      </c>
      <c r="C97" s="14" t="s">
        <v>113</v>
      </c>
      <c r="D97" s="14" t="s">
        <v>112</v>
      </c>
      <c r="E97" s="14" t="s">
        <v>10</v>
      </c>
      <c r="F97" s="14" t="s">
        <v>11</v>
      </c>
      <c r="G97" s="15">
        <v>45329</v>
      </c>
      <c r="H97" s="15" t="str">
        <f>MID(HAF[[#This Row],[Client Program Name]], SEARCH( "-",HAF[[#This Row],[Client Program Name]])+1,LEN(HAF[[#This Row],[Client Program Name]])-(SEARCH( "-",HAF[[#This Row],[Client Program Name]])-1))</f>
        <v xml:space="preserve"> St. John's</v>
      </c>
      <c r="I97" s="16">
        <v>10400829.9</v>
      </c>
      <c r="J97" s="16">
        <f>IF(ISNUMBER(MATCH(HAF[[#This Row],[Client Program Name]],Table6[Client Program],0)), VLOOKUP(HAF[[#This Row],[Client Program Name]],Table6[], 6, FALSE), 0 )</f>
        <v>10400830</v>
      </c>
      <c r="K97" s="16">
        <f>IF(ISNUMBER(MATCH(HAF[[#This Row],[Client Program Name]],Table6[Client Program],0)), VLOOKUP(HAF[[#This Row],[Client Program Name]],Table6[], 7, FALSE), VLOOKUP(HAF[[#This Row],[Client Program Name]],Table2[], 7, FALSE) )</f>
        <v>702</v>
      </c>
      <c r="L97" s="16">
        <v>285</v>
      </c>
      <c r="M97" s="16">
        <f>IF(ISNUMBER(MATCH(HAF[[#This Row],[Client Program Name]],Table6[Client Program],0)), VLOOKUP(HAF[[#This Row],[Client Program Name]],Table6[], 9, FALSE), 0 )</f>
        <v>285</v>
      </c>
      <c r="N97" s="16">
        <f>IF(ISNUMBER(MATCH(HAF[[#This Row],[Client Program Name]],Table6[Client Program],0)), VLOOKUP(HAF[[#This Row],[Client Program Name]],Table6[], 10, FALSE), VLOOKUP(HAF[[#This Row],[Client Program Name]],Table2[], 8, FALSE) )</f>
        <v>987</v>
      </c>
      <c r="O97" s="16">
        <v>4138</v>
      </c>
      <c r="P97" s="3"/>
      <c r="Q97" s="14"/>
    </row>
    <row r="98" spans="1:17" x14ac:dyDescent="0.35">
      <c r="A98" s="14" t="s">
        <v>248</v>
      </c>
      <c r="B98" s="14" t="str">
        <f>IF(HAF[[#This Row],[Program]]="Housing Accelerator Fund", "Round One", "Round Two")</f>
        <v>Round One</v>
      </c>
      <c r="C98" s="14" t="s">
        <v>118</v>
      </c>
      <c r="D98" s="14" t="s">
        <v>112</v>
      </c>
      <c r="E98" s="14" t="s">
        <v>17</v>
      </c>
      <c r="F98" s="14" t="s">
        <v>11</v>
      </c>
      <c r="G98" s="15">
        <v>45338</v>
      </c>
      <c r="H98" s="15" t="str">
        <f>MID(HAF[[#This Row],[Client Program Name]], SEARCH( "-",HAF[[#This Row],[Client Program Name]])+1,LEN(HAF[[#This Row],[Client Program Name]])-(SEARCH( "-",HAF[[#This Row],[Client Program Name]])-1))</f>
        <v xml:space="preserve"> Town of New-Wes-Valley</v>
      </c>
      <c r="I98" s="16">
        <v>500000</v>
      </c>
      <c r="J98" s="16">
        <f>IF(ISNUMBER(MATCH(HAF[[#This Row],[Client Program Name]],Table6[Client Program],0)), VLOOKUP(HAF[[#This Row],[Client Program Name]],Table6[], 6, FALSE), 0 )</f>
        <v>500000</v>
      </c>
      <c r="K98" s="16">
        <f>IF(ISNUMBER(MATCH(HAF[[#This Row],[Client Program Name]],Table6[Client Program],0)), VLOOKUP(HAF[[#This Row],[Client Program Name]],Table6[], 7, FALSE), VLOOKUP(HAF[[#This Row],[Client Program Name]],Table2[], 7, FALSE) )</f>
        <v>9</v>
      </c>
      <c r="L98" s="16">
        <v>22</v>
      </c>
      <c r="M98" s="16">
        <f>IF(ISNUMBER(MATCH(HAF[[#This Row],[Client Program Name]],Table6[Client Program],0)), VLOOKUP(HAF[[#This Row],[Client Program Name]],Table6[], 9, FALSE), 0 )</f>
        <v>22</v>
      </c>
      <c r="N98" s="16">
        <f>IF(ISNUMBER(MATCH(HAF[[#This Row],[Client Program Name]],Table6[Client Program],0)), VLOOKUP(HAF[[#This Row],[Client Program Name]],Table6[], 10, FALSE), VLOOKUP(HAF[[#This Row],[Client Program Name]],Table2[], 8, FALSE) )</f>
        <v>31</v>
      </c>
      <c r="O98" s="16">
        <v>435</v>
      </c>
      <c r="P98" s="3"/>
      <c r="Q98" s="14"/>
    </row>
    <row r="99" spans="1:17" x14ac:dyDescent="0.35">
      <c r="A99" s="14" t="s">
        <v>248</v>
      </c>
      <c r="B99" s="14" t="str">
        <f>IF(HAF[[#This Row],[Program]]="Housing Accelerator Fund", "Round One", "Round Two")</f>
        <v>Round One</v>
      </c>
      <c r="C99" s="14" t="s">
        <v>114</v>
      </c>
      <c r="D99" s="14" t="s">
        <v>112</v>
      </c>
      <c r="E99" s="14" t="s">
        <v>17</v>
      </c>
      <c r="F99" s="14" t="s">
        <v>11</v>
      </c>
      <c r="G99" s="15">
        <v>45329</v>
      </c>
      <c r="H99" s="15" t="str">
        <f>MID(HAF[[#This Row],[Client Program Name]], SEARCH( "-",HAF[[#This Row],[Client Program Name]])+1,LEN(HAF[[#This Row],[Client Program Name]])-(SEARCH( "-",HAF[[#This Row],[Client Program Name]])-1))</f>
        <v xml:space="preserve"> Town of Channel-Port Aux Basques</v>
      </c>
      <c r="I99" s="16">
        <v>3374631.2</v>
      </c>
      <c r="J99" s="16">
        <f>IF(ISNUMBER(MATCH(HAF[[#This Row],[Client Program Name]],Table6[Client Program],0)), VLOOKUP(HAF[[#This Row],[Client Program Name]],Table6[], 6, FALSE), 0 )</f>
        <v>3374631</v>
      </c>
      <c r="K99" s="16">
        <f>IF(ISNUMBER(MATCH(HAF[[#This Row],[Client Program Name]],Table6[Client Program],0)), VLOOKUP(HAF[[#This Row],[Client Program Name]],Table6[], 7, FALSE), VLOOKUP(HAF[[#This Row],[Client Program Name]],Table2[], 7, FALSE) )</f>
        <v>72</v>
      </c>
      <c r="L99" s="16">
        <v>92</v>
      </c>
      <c r="M99" s="16">
        <f>IF(ISNUMBER(MATCH(HAF[[#This Row],[Client Program Name]],Table6[Client Program],0)), VLOOKUP(HAF[[#This Row],[Client Program Name]],Table6[], 9, FALSE), 0 )</f>
        <v>92</v>
      </c>
      <c r="N99" s="16">
        <f>IF(ISNUMBER(MATCH(HAF[[#This Row],[Client Program Name]],Table6[Client Program],0)), VLOOKUP(HAF[[#This Row],[Client Program Name]],Table6[], 10, FALSE), VLOOKUP(HAF[[#This Row],[Client Program Name]],Table2[], 8, FALSE) )</f>
        <v>164</v>
      </c>
      <c r="O99" s="16">
        <v>390</v>
      </c>
      <c r="P99" s="3"/>
      <c r="Q99" s="14"/>
    </row>
    <row r="100" spans="1:17" x14ac:dyDescent="0.35">
      <c r="A100" s="14" t="s">
        <v>248</v>
      </c>
      <c r="B100" s="14" t="str">
        <f>IF(HAF[[#This Row],[Program]]="Housing Accelerator Fund", "Round One", "Round Two")</f>
        <v>Round One</v>
      </c>
      <c r="C100" s="14" t="s">
        <v>119</v>
      </c>
      <c r="D100" s="14" t="s">
        <v>112</v>
      </c>
      <c r="E100" s="14" t="s">
        <v>17</v>
      </c>
      <c r="F100" s="14" t="s">
        <v>11</v>
      </c>
      <c r="G100" s="15">
        <v>45343</v>
      </c>
      <c r="H100" s="15" t="str">
        <f>MID(HAF[[#This Row],[Client Program Name]], SEARCH( "-",HAF[[#This Row],[Client Program Name]])+1,LEN(HAF[[#This Row],[Client Program Name]])-(SEARCH( "-",HAF[[#This Row],[Client Program Name]])-1))</f>
        <v xml:space="preserve"> Town of Port Rexton</v>
      </c>
      <c r="I100" s="16">
        <v>896015.2</v>
      </c>
      <c r="J100" s="16">
        <f>IF(ISNUMBER(MATCH(HAF[[#This Row],[Client Program Name]],Table6[Client Program],0)), VLOOKUP(HAF[[#This Row],[Client Program Name]],Table6[], 6, FALSE), 0 )</f>
        <v>896015</v>
      </c>
      <c r="K100" s="16">
        <f>IF(ISNUMBER(MATCH(HAF[[#This Row],[Client Program Name]],Table6[Client Program],0)), VLOOKUP(HAF[[#This Row],[Client Program Name]],Table6[], 7, FALSE), VLOOKUP(HAF[[#This Row],[Client Program Name]],Table2[], 7, FALSE) )</f>
        <v>4</v>
      </c>
      <c r="L100" s="16">
        <v>20</v>
      </c>
      <c r="M100" s="16">
        <f>IF(ISNUMBER(MATCH(HAF[[#This Row],[Client Program Name]],Table6[Client Program],0)), VLOOKUP(HAF[[#This Row],[Client Program Name]],Table6[], 9, FALSE), 0 )</f>
        <v>20</v>
      </c>
      <c r="N100" s="16">
        <f>IF(ISNUMBER(MATCH(HAF[[#This Row],[Client Program Name]],Table6[Client Program],0)), VLOOKUP(HAF[[#This Row],[Client Program Name]],Table6[], 10, FALSE), VLOOKUP(HAF[[#This Row],[Client Program Name]],Table2[], 8, FALSE) )</f>
        <v>24</v>
      </c>
      <c r="O100" s="16">
        <v>30</v>
      </c>
      <c r="P100" s="3"/>
      <c r="Q100" s="14"/>
    </row>
    <row r="101" spans="1:17" x14ac:dyDescent="0.35">
      <c r="A101" s="14" t="s">
        <v>248</v>
      </c>
      <c r="B101" s="14" t="str">
        <f>IF(HAF[[#This Row],[Program]]="Housing Accelerator Fund", "Round One", "Round Two")</f>
        <v>Round One</v>
      </c>
      <c r="C101" s="14" t="s">
        <v>115</v>
      </c>
      <c r="D101" s="14" t="s">
        <v>112</v>
      </c>
      <c r="E101" s="14" t="s">
        <v>17</v>
      </c>
      <c r="F101" s="14" t="s">
        <v>11</v>
      </c>
      <c r="G101" s="15">
        <v>45322</v>
      </c>
      <c r="H101" s="15" t="str">
        <f>MID(HAF[[#This Row],[Client Program Name]], SEARCH( "-",HAF[[#This Row],[Client Program Name]])+1,LEN(HAF[[#This Row],[Client Program Name]])-(SEARCH( "-",HAF[[#This Row],[Client Program Name]])-1))</f>
        <v xml:space="preserve"> Town of Fogo Island</v>
      </c>
      <c r="I101" s="16">
        <v>798300</v>
      </c>
      <c r="J101" s="16">
        <f>IF(ISNUMBER(MATCH(HAF[[#This Row],[Client Program Name]],Table6[Client Program],0)), VLOOKUP(HAF[[#This Row],[Client Program Name]],Table6[], 6, FALSE), 0 )</f>
        <v>798300</v>
      </c>
      <c r="K101" s="16">
        <f>IF(ISNUMBER(MATCH(HAF[[#This Row],[Client Program Name]],Table6[Client Program],0)), VLOOKUP(HAF[[#This Row],[Client Program Name]],Table6[], 7, FALSE), VLOOKUP(HAF[[#This Row],[Client Program Name]],Table2[], 7, FALSE) )</f>
        <v>18</v>
      </c>
      <c r="L101" s="16">
        <v>18</v>
      </c>
      <c r="M101" s="16">
        <f>IF(ISNUMBER(MATCH(HAF[[#This Row],[Client Program Name]],Table6[Client Program],0)), VLOOKUP(HAF[[#This Row],[Client Program Name]],Table6[], 9, FALSE), 0 )</f>
        <v>18</v>
      </c>
      <c r="N101" s="16">
        <f>IF(ISNUMBER(MATCH(HAF[[#This Row],[Client Program Name]],Table6[Client Program],0)), VLOOKUP(HAF[[#This Row],[Client Program Name]],Table6[], 10, FALSE), VLOOKUP(HAF[[#This Row],[Client Program Name]],Table2[], 8, FALSE) )</f>
        <v>36</v>
      </c>
      <c r="O101" s="16">
        <v>116</v>
      </c>
      <c r="P101" s="3"/>
      <c r="Q101" s="14"/>
    </row>
    <row r="102" spans="1:17" x14ac:dyDescent="0.35">
      <c r="A102" s="14" t="s">
        <v>249</v>
      </c>
      <c r="B102" s="14" t="str">
        <f>IF(HAF[[#This Row],[Program]]="Housing Accelerator Fund", "Round One", "Round Two")</f>
        <v>Round Two</v>
      </c>
      <c r="C102" s="14" t="s">
        <v>272</v>
      </c>
      <c r="D102" s="14" t="s">
        <v>112</v>
      </c>
      <c r="E102" s="14" t="s">
        <v>17</v>
      </c>
      <c r="F102" s="14" t="s">
        <v>11</v>
      </c>
      <c r="G102" s="15">
        <v>45645</v>
      </c>
      <c r="H102" s="15" t="str">
        <f>MID(HAF[[#This Row],[Client Program Name]], SEARCH( "-",HAF[[#This Row],[Client Program Name]])+1,LEN(HAF[[#This Row],[Client Program Name]])-(SEARCH( "-",HAF[[#This Row],[Client Program Name]])-1))</f>
        <v xml:space="preserve"> Town of Torbay</v>
      </c>
      <c r="I102" s="16">
        <v>2122009.5</v>
      </c>
      <c r="J102" s="16">
        <f>IF(ISNUMBER(MATCH(HAF[[#This Row],[Client Program Name]],Table6[Client Program],0)), VLOOKUP(HAF[[#This Row],[Client Program Name]],Table6[], 6, FALSE), 0 )</f>
        <v>0</v>
      </c>
      <c r="K102" s="16">
        <f>IF(ISNUMBER(MATCH(HAF[[#This Row],[Client Program Name]],Table6[Client Program],0)), VLOOKUP(HAF[[#This Row],[Client Program Name]],Table6[], 7, FALSE), VLOOKUP(HAF[[#This Row],[Client Program Name]],Table2[], 7, FALSE) )</f>
        <v>50</v>
      </c>
      <c r="L102" s="16">
        <v>63</v>
      </c>
      <c r="M102" s="16">
        <f>IF(ISNUMBER(MATCH(HAF[[#This Row],[Client Program Name]],Table6[Client Program],0)), VLOOKUP(HAF[[#This Row],[Client Program Name]],Table6[], 9, FALSE), 0 )</f>
        <v>0</v>
      </c>
      <c r="N102" s="16">
        <f>IF(ISNUMBER(MATCH(HAF[[#This Row],[Client Program Name]],Table6[Client Program],0)), VLOOKUP(HAF[[#This Row],[Client Program Name]],Table6[], 10, FALSE), VLOOKUP(HAF[[#This Row],[Client Program Name]],Table2[], 8, FALSE) )</f>
        <v>113</v>
      </c>
      <c r="O102" s="16">
        <v>750</v>
      </c>
      <c r="P102" s="3"/>
      <c r="Q102" s="14"/>
    </row>
    <row r="103" spans="1:17" x14ac:dyDescent="0.35">
      <c r="A103" s="14" t="s">
        <v>249</v>
      </c>
      <c r="B103" s="14" t="str">
        <f>IF(HAF[[#This Row],[Program]]="Housing Accelerator Fund", "Round One", "Round Two")</f>
        <v>Round Two</v>
      </c>
      <c r="C103" s="14" t="s">
        <v>273</v>
      </c>
      <c r="D103" s="14" t="s">
        <v>112</v>
      </c>
      <c r="E103" s="14" t="s">
        <v>17</v>
      </c>
      <c r="F103" s="14" t="s">
        <v>11</v>
      </c>
      <c r="G103" s="15">
        <v>45646</v>
      </c>
      <c r="H103" s="15" t="str">
        <f>MID(HAF[[#This Row],[Client Program Name]], SEARCH( "-",HAF[[#This Row],[Client Program Name]])+1,LEN(HAF[[#This Row],[Client Program Name]])-(SEARCH( "-",HAF[[#This Row],[Client Program Name]])-1))</f>
        <v xml:space="preserve"> Pasadena</v>
      </c>
      <c r="I103" s="16">
        <v>1215000</v>
      </c>
      <c r="J103" s="16">
        <f>IF(ISNUMBER(MATCH(HAF[[#This Row],[Client Program Name]],Table6[Client Program],0)), VLOOKUP(HAF[[#This Row],[Client Program Name]],Table6[], 6, FALSE), 0 )</f>
        <v>0</v>
      </c>
      <c r="K103" s="16">
        <f>IF(ISNUMBER(MATCH(HAF[[#This Row],[Client Program Name]],Table6[Client Program],0)), VLOOKUP(HAF[[#This Row],[Client Program Name]],Table6[], 7, FALSE), VLOOKUP(HAF[[#This Row],[Client Program Name]],Table2[], 7, FALSE) )</f>
        <v>45</v>
      </c>
      <c r="L103" s="16">
        <v>35</v>
      </c>
      <c r="M103" s="16">
        <f>IF(ISNUMBER(MATCH(HAF[[#This Row],[Client Program Name]],Table6[Client Program],0)), VLOOKUP(HAF[[#This Row],[Client Program Name]],Table6[], 9, FALSE), 0 )</f>
        <v>0</v>
      </c>
      <c r="N103" s="16">
        <f>IF(ISNUMBER(MATCH(HAF[[#This Row],[Client Program Name]],Table6[Client Program],0)), VLOOKUP(HAF[[#This Row],[Client Program Name]],Table6[], 10, FALSE), VLOOKUP(HAF[[#This Row],[Client Program Name]],Table2[], 8, FALSE) )</f>
        <v>80</v>
      </c>
      <c r="O103" s="16">
        <v>240</v>
      </c>
      <c r="P103" s="3"/>
      <c r="Q103" s="14"/>
    </row>
    <row r="104" spans="1:17" x14ac:dyDescent="0.35">
      <c r="A104" s="14" t="s">
        <v>248</v>
      </c>
      <c r="B104" s="14" t="str">
        <f>IF(HAF[[#This Row],[Program]]="Housing Accelerator Fund", "Round One", "Round Two")</f>
        <v>Round One</v>
      </c>
      <c r="C104" s="14" t="s">
        <v>121</v>
      </c>
      <c r="D104" s="14" t="s">
        <v>122</v>
      </c>
      <c r="E104" s="14" t="s">
        <v>17</v>
      </c>
      <c r="F104" s="14" t="s">
        <v>11</v>
      </c>
      <c r="G104" s="15">
        <v>45280</v>
      </c>
      <c r="H104" s="15" t="str">
        <f>MID(HAF[[#This Row],[Client Program Name]], SEARCH( "-",HAF[[#This Row],[Client Program Name]])+1,LEN(HAF[[#This Row],[Client Program Name]])-(SEARCH( "-",HAF[[#This Row],[Client Program Name]])-1))</f>
        <v xml:space="preserve"> City of Yellowknife</v>
      </c>
      <c r="I104" s="16">
        <v>8429600.6999999993</v>
      </c>
      <c r="J104" s="16">
        <f>IF(ISNUMBER(MATCH(HAF[[#This Row],[Client Program Name]],Table6[Client Program],0)), VLOOKUP(HAF[[#This Row],[Client Program Name]],Table6[], 6, FALSE), 0 )</f>
        <v>8429601</v>
      </c>
      <c r="K104" s="16">
        <f>IF(ISNUMBER(MATCH(HAF[[#This Row],[Client Program Name]],Table6[Client Program],0)), VLOOKUP(HAF[[#This Row],[Client Program Name]],Table6[], 7, FALSE), VLOOKUP(HAF[[#This Row],[Client Program Name]],Table2[], 7, FALSE) )</f>
        <v>215</v>
      </c>
      <c r="L104" s="16">
        <v>154</v>
      </c>
      <c r="M104" s="16">
        <f>IF(ISNUMBER(MATCH(HAF[[#This Row],[Client Program Name]],Table6[Client Program],0)), VLOOKUP(HAF[[#This Row],[Client Program Name]],Table6[], 9, FALSE), 0 )</f>
        <v>154</v>
      </c>
      <c r="N104" s="16">
        <f>IF(ISNUMBER(MATCH(HAF[[#This Row],[Client Program Name]],Table6[Client Program],0)), VLOOKUP(HAF[[#This Row],[Client Program Name]],Table6[], 10, FALSE), VLOOKUP(HAF[[#This Row],[Client Program Name]],Table2[], 8, FALSE) )</f>
        <v>369</v>
      </c>
      <c r="O104" s="16">
        <v>2500</v>
      </c>
      <c r="P104" s="3"/>
      <c r="Q104" s="14"/>
    </row>
    <row r="105" spans="1:17" x14ac:dyDescent="0.35">
      <c r="A105" s="14" t="s">
        <v>248</v>
      </c>
      <c r="B105" s="14" t="str">
        <f>IF(HAF[[#This Row],[Program]]="Housing Accelerator Fund", "Round One", "Round Two")</f>
        <v>Round One</v>
      </c>
      <c r="C105" s="14" t="s">
        <v>125</v>
      </c>
      <c r="D105" s="14" t="s">
        <v>122</v>
      </c>
      <c r="E105" s="14" t="s">
        <v>17</v>
      </c>
      <c r="F105" s="14" t="s">
        <v>11</v>
      </c>
      <c r="G105" s="15">
        <v>45282</v>
      </c>
      <c r="H105" s="15" t="str">
        <f>MID(HAF[[#This Row],[Client Program Name]], SEARCH( "-",HAF[[#This Row],[Client Program Name]])+1,LEN(HAF[[#This Row],[Client Program Name]])-(SEARCH( "-",HAF[[#This Row],[Client Program Name]])-1))</f>
        <v xml:space="preserve"> Town of Hay River</v>
      </c>
      <c r="I105" s="16">
        <v>2034171</v>
      </c>
      <c r="J105" s="16">
        <f>IF(ISNUMBER(MATCH(HAF[[#This Row],[Client Program Name]],Table6[Client Program],0)), VLOOKUP(HAF[[#This Row],[Client Program Name]],Table6[], 6, FALSE), 0 )</f>
        <v>2034171</v>
      </c>
      <c r="K105" s="16">
        <f>IF(ISNUMBER(MATCH(HAF[[#This Row],[Client Program Name]],Table6[Client Program],0)), VLOOKUP(HAF[[#This Row],[Client Program Name]],Table6[], 7, FALSE), VLOOKUP(HAF[[#This Row],[Client Program Name]],Table2[], 7, FALSE) )</f>
        <v>25</v>
      </c>
      <c r="L105" s="16">
        <v>30</v>
      </c>
      <c r="M105" s="16">
        <f>IF(ISNUMBER(MATCH(HAF[[#This Row],[Client Program Name]],Table6[Client Program],0)), VLOOKUP(HAF[[#This Row],[Client Program Name]],Table6[], 9, FALSE), 0 )</f>
        <v>30</v>
      </c>
      <c r="N105" s="16">
        <f>IF(ISNUMBER(MATCH(HAF[[#This Row],[Client Program Name]],Table6[Client Program],0)), VLOOKUP(HAF[[#This Row],[Client Program Name]],Table6[], 10, FALSE), VLOOKUP(HAF[[#This Row],[Client Program Name]],Table2[], 8, FALSE) )</f>
        <v>55</v>
      </c>
      <c r="O105" s="16">
        <v>173</v>
      </c>
      <c r="P105" s="3"/>
      <c r="Q105" s="14"/>
    </row>
    <row r="106" spans="1:17" x14ac:dyDescent="0.35">
      <c r="A106" s="14" t="s">
        <v>248</v>
      </c>
      <c r="B106" s="14" t="str">
        <f>IF(HAF[[#This Row],[Program]]="Housing Accelerator Fund", "Round One", "Round Two")</f>
        <v>Round One</v>
      </c>
      <c r="C106" s="14" t="s">
        <v>124</v>
      </c>
      <c r="D106" s="14" t="s">
        <v>122</v>
      </c>
      <c r="E106" s="14" t="s">
        <v>17</v>
      </c>
      <c r="F106" s="14" t="s">
        <v>18</v>
      </c>
      <c r="G106" s="15">
        <v>45337</v>
      </c>
      <c r="H106" s="15" t="str">
        <f>MID(HAF[[#This Row],[Client Program Name]], SEARCH( "-",HAF[[#This Row],[Client Program Name]])+1,LEN(HAF[[#This Row],[Client Program Name]])-(SEARCH( "-",HAF[[#This Row],[Client Program Name]])-1))</f>
        <v xml:space="preserve"> Jean Marie River First Nation</v>
      </c>
      <c r="I106" s="16">
        <v>885000</v>
      </c>
      <c r="J106" s="16">
        <f>IF(ISNUMBER(MATCH(HAF[[#This Row],[Client Program Name]],Table6[Client Program],0)), VLOOKUP(HAF[[#This Row],[Client Program Name]],Table6[], 6, FALSE), 0 )</f>
        <v>885000</v>
      </c>
      <c r="K106" s="16">
        <f>IF(ISNUMBER(MATCH(HAF[[#This Row],[Client Program Name]],Table6[Client Program],0)), VLOOKUP(HAF[[#This Row],[Client Program Name]],Table6[], 7, FALSE), VLOOKUP(HAF[[#This Row],[Client Program Name]],Table2[], 7, FALSE) )</f>
        <v>1</v>
      </c>
      <c r="L106" s="16">
        <v>15</v>
      </c>
      <c r="M106" s="16">
        <f>IF(ISNUMBER(MATCH(HAF[[#This Row],[Client Program Name]],Table6[Client Program],0)), VLOOKUP(HAF[[#This Row],[Client Program Name]],Table6[], 9, FALSE), 0 )</f>
        <v>15</v>
      </c>
      <c r="N106" s="16">
        <f>IF(ISNUMBER(MATCH(HAF[[#This Row],[Client Program Name]],Table6[Client Program],0)), VLOOKUP(HAF[[#This Row],[Client Program Name]],Table6[], 10, FALSE), VLOOKUP(HAF[[#This Row],[Client Program Name]],Table2[], 8, FALSE) )</f>
        <v>16</v>
      </c>
      <c r="O106" s="16">
        <v>32</v>
      </c>
      <c r="P106" s="3"/>
      <c r="Q106" s="14"/>
    </row>
    <row r="107" spans="1:17" x14ac:dyDescent="0.35">
      <c r="A107" s="14" t="s">
        <v>248</v>
      </c>
      <c r="B107" s="14" t="str">
        <f>IF(HAF[[#This Row],[Program]]="Housing Accelerator Fund", "Round One", "Round Two")</f>
        <v>Round One</v>
      </c>
      <c r="C107" s="14" t="s">
        <v>123</v>
      </c>
      <c r="D107" s="14" t="s">
        <v>122</v>
      </c>
      <c r="E107" s="14" t="s">
        <v>17</v>
      </c>
      <c r="F107" s="14" t="s">
        <v>18</v>
      </c>
      <c r="G107" s="15">
        <v>45334</v>
      </c>
      <c r="H107" s="15" t="str">
        <f>MID(HAF[[#This Row],[Client Program Name]], SEARCH( "-",HAF[[#This Row],[Client Program Name]])+1,LEN(HAF[[#This Row],[Client Program Name]])-(SEARCH( "-",HAF[[#This Row],[Client Program Name]])-1))</f>
        <v xml:space="preserve"> Fort Simpson Metis Nation</v>
      </c>
      <c r="I107" s="16">
        <v>580000</v>
      </c>
      <c r="J107" s="16">
        <f>IF(ISNUMBER(MATCH(HAF[[#This Row],[Client Program Name]],Table6[Client Program],0)), VLOOKUP(HAF[[#This Row],[Client Program Name]],Table6[], 6, FALSE), 0 )</f>
        <v>580000</v>
      </c>
      <c r="K107" s="16">
        <f>IF(ISNUMBER(MATCH(HAF[[#This Row],[Client Program Name]],Table6[Client Program],0)), VLOOKUP(HAF[[#This Row],[Client Program Name]],Table6[], 7, FALSE), VLOOKUP(HAF[[#This Row],[Client Program Name]],Table2[], 7, FALSE) )</f>
        <v>2</v>
      </c>
      <c r="L107" s="16">
        <v>8</v>
      </c>
      <c r="M107" s="16">
        <f>IF(ISNUMBER(MATCH(HAF[[#This Row],[Client Program Name]],Table6[Client Program],0)), VLOOKUP(HAF[[#This Row],[Client Program Name]],Table6[], 9, FALSE), 0 )</f>
        <v>8</v>
      </c>
      <c r="N107" s="16">
        <f>IF(ISNUMBER(MATCH(HAF[[#This Row],[Client Program Name]],Table6[Client Program],0)), VLOOKUP(HAF[[#This Row],[Client Program Name]],Table6[], 10, FALSE), VLOOKUP(HAF[[#This Row],[Client Program Name]],Table2[], 8, FALSE) )</f>
        <v>10</v>
      </c>
      <c r="O107" s="16">
        <v>20</v>
      </c>
      <c r="P107" s="3"/>
      <c r="Q107" s="14"/>
    </row>
    <row r="108" spans="1:17" x14ac:dyDescent="0.35">
      <c r="A108" s="14" t="s">
        <v>249</v>
      </c>
      <c r="B108" s="14" t="str">
        <f>IF(HAF[[#This Row],[Program]]="Housing Accelerator Fund", "Round One", "Round Two")</f>
        <v>Round Two</v>
      </c>
      <c r="C108" s="14" t="s">
        <v>274</v>
      </c>
      <c r="D108" s="14" t="s">
        <v>122</v>
      </c>
      <c r="E108" s="14" t="s">
        <v>17</v>
      </c>
      <c r="F108" s="14" t="s">
        <v>11</v>
      </c>
      <c r="G108" s="15">
        <v>45644</v>
      </c>
      <c r="H108" s="15" t="str">
        <f>MID(HAF[[#This Row],[Client Program Name]], SEARCH( "-",HAF[[#This Row],[Client Program Name]])+1,LEN(HAF[[#This Row],[Client Program Name]])-(SEARCH( "-",HAF[[#This Row],[Client Program Name]])-1))</f>
        <v xml:space="preserve"> Fort Smith</v>
      </c>
      <c r="I108" s="16">
        <v>2616019</v>
      </c>
      <c r="J108" s="16">
        <f>IF(ISNUMBER(MATCH(HAF[[#This Row],[Client Program Name]],Table6[Client Program],0)), VLOOKUP(HAF[[#This Row],[Client Program Name]],Table6[], 6, FALSE), 0 )</f>
        <v>0</v>
      </c>
      <c r="K108" s="16">
        <f>IF(ISNUMBER(MATCH(HAF[[#This Row],[Client Program Name]],Table6[Client Program],0)), VLOOKUP(HAF[[#This Row],[Client Program Name]],Table6[], 7, FALSE), VLOOKUP(HAF[[#This Row],[Client Program Name]],Table2[], 7, FALSE) )</f>
        <v>18</v>
      </c>
      <c r="L108" s="16">
        <v>52</v>
      </c>
      <c r="M108" s="16">
        <f>IF(ISNUMBER(MATCH(HAF[[#This Row],[Client Program Name]],Table6[Client Program],0)), VLOOKUP(HAF[[#This Row],[Client Program Name]],Table6[], 9, FALSE), 0 )</f>
        <v>0</v>
      </c>
      <c r="N108" s="16">
        <f>IF(ISNUMBER(MATCH(HAF[[#This Row],[Client Program Name]],Table6[Client Program],0)), VLOOKUP(HAF[[#This Row],[Client Program Name]],Table6[], 10, FALSE), VLOOKUP(HAF[[#This Row],[Client Program Name]],Table2[], 8, FALSE) )</f>
        <v>70</v>
      </c>
      <c r="O108" s="16">
        <v>150</v>
      </c>
      <c r="P108" s="3"/>
      <c r="Q108" s="14"/>
    </row>
    <row r="109" spans="1:17" x14ac:dyDescent="0.35">
      <c r="A109" s="14" t="s">
        <v>248</v>
      </c>
      <c r="B109" s="14" t="str">
        <f>IF(HAF[[#This Row],[Program]]="Housing Accelerator Fund", "Round One", "Round Two")</f>
        <v>Round One</v>
      </c>
      <c r="C109" s="14" t="s">
        <v>134</v>
      </c>
      <c r="D109" s="14" t="s">
        <v>127</v>
      </c>
      <c r="E109" s="14" t="s">
        <v>10</v>
      </c>
      <c r="F109" s="14" t="s">
        <v>11</v>
      </c>
      <c r="G109" s="15">
        <v>45338</v>
      </c>
      <c r="H109" s="15" t="str">
        <f>MID(HAF[[#This Row],[Client Program Name]], SEARCH( "-",HAF[[#This Row],[Client Program Name]])+1,LEN(HAF[[#This Row],[Client Program Name]])-(SEARCH( "-",HAF[[#This Row],[Client Program Name]])-1))</f>
        <v xml:space="preserve"> Municipality of the County of Kings</v>
      </c>
      <c r="I109" s="16">
        <v>5968851.5999999996</v>
      </c>
      <c r="J109" s="16">
        <f>IF(ISNUMBER(MATCH(HAF[[#This Row],[Client Program Name]],Table6[Client Program],0)), VLOOKUP(HAF[[#This Row],[Client Program Name]],Table6[], 6, FALSE), 0 )</f>
        <v>5968852</v>
      </c>
      <c r="K109" s="16">
        <f>IF(ISNUMBER(MATCH(HAF[[#This Row],[Client Program Name]],Table6[Client Program],0)), VLOOKUP(HAF[[#This Row],[Client Program Name]],Table6[], 7, FALSE), VLOOKUP(HAF[[#This Row],[Client Program Name]],Table2[], 7, FALSE) )</f>
        <v>570</v>
      </c>
      <c r="L109" s="16">
        <v>226</v>
      </c>
      <c r="M109" s="16">
        <f>IF(ISNUMBER(MATCH(HAF[[#This Row],[Client Program Name]],Table6[Client Program],0)), VLOOKUP(HAF[[#This Row],[Client Program Name]],Table6[], 9, FALSE), 0 )</f>
        <v>226</v>
      </c>
      <c r="N109" s="16">
        <f>IF(ISNUMBER(MATCH(HAF[[#This Row],[Client Program Name]],Table6[Client Program],0)), VLOOKUP(HAF[[#This Row],[Client Program Name]],Table6[], 10, FALSE), VLOOKUP(HAF[[#This Row],[Client Program Name]],Table2[], 8, FALSE) )</f>
        <v>796</v>
      </c>
      <c r="O109" s="16">
        <v>1240</v>
      </c>
      <c r="P109" s="3"/>
      <c r="Q109" s="14"/>
    </row>
    <row r="110" spans="1:17" x14ac:dyDescent="0.35">
      <c r="A110" s="14" t="s">
        <v>248</v>
      </c>
      <c r="B110" s="14" t="str">
        <f>IF(HAF[[#This Row],[Program]]="Housing Accelerator Fund", "Round One", "Round Two")</f>
        <v>Round One</v>
      </c>
      <c r="C110" s="14" t="s">
        <v>144</v>
      </c>
      <c r="D110" s="14" t="s">
        <v>127</v>
      </c>
      <c r="E110" s="14" t="s">
        <v>10</v>
      </c>
      <c r="F110" s="14" t="s">
        <v>11</v>
      </c>
      <c r="G110" s="15">
        <v>45322</v>
      </c>
      <c r="H110" s="15" t="str">
        <f>MID(HAF[[#This Row],[Client Program Name]], SEARCH( "-",HAF[[#This Row],[Client Program Name]])+1,LEN(HAF[[#This Row],[Client Program Name]])-(SEARCH( "-",HAF[[#This Row],[Client Program Name]])-1))</f>
        <v xml:space="preserve"> West Hants Regional Municipality</v>
      </c>
      <c r="I110" s="16">
        <v>1081886</v>
      </c>
      <c r="J110" s="16">
        <f>IF(ISNUMBER(MATCH(HAF[[#This Row],[Client Program Name]],Table6[Client Program],0)), VLOOKUP(HAF[[#This Row],[Client Program Name]],Table6[], 6, FALSE), 0 )</f>
        <v>1081886</v>
      </c>
      <c r="K110" s="16">
        <f>IF(ISNUMBER(MATCH(HAF[[#This Row],[Client Program Name]],Table6[Client Program],0)), VLOOKUP(HAF[[#This Row],[Client Program Name]],Table6[], 7, FALSE), VLOOKUP(HAF[[#This Row],[Client Program Name]],Table2[], 7, FALSE) )</f>
        <v>330</v>
      </c>
      <c r="L110" s="16">
        <v>40</v>
      </c>
      <c r="M110" s="16">
        <f>IF(ISNUMBER(MATCH(HAF[[#This Row],[Client Program Name]],Table6[Client Program],0)), VLOOKUP(HAF[[#This Row],[Client Program Name]],Table6[], 9, FALSE), 0 )</f>
        <v>40</v>
      </c>
      <c r="N110" s="16">
        <f>IF(ISNUMBER(MATCH(HAF[[#This Row],[Client Program Name]],Table6[Client Program],0)), VLOOKUP(HAF[[#This Row],[Client Program Name]],Table6[], 10, FALSE), VLOOKUP(HAF[[#This Row],[Client Program Name]],Table2[], 8, FALSE) )</f>
        <v>370</v>
      </c>
      <c r="O110" s="16">
        <v>1500</v>
      </c>
      <c r="P110" s="3"/>
      <c r="Q110" s="14"/>
    </row>
    <row r="111" spans="1:17" x14ac:dyDescent="0.35">
      <c r="A111" s="14" t="s">
        <v>248</v>
      </c>
      <c r="B111" s="14" t="str">
        <f>IF(HAF[[#This Row],[Program]]="Housing Accelerator Fund", "Round One", "Round Two")</f>
        <v>Round One</v>
      </c>
      <c r="C111" s="14" t="s">
        <v>130</v>
      </c>
      <c r="D111" s="14" t="s">
        <v>127</v>
      </c>
      <c r="E111" s="14" t="s">
        <v>10</v>
      </c>
      <c r="F111" s="14" t="s">
        <v>11</v>
      </c>
      <c r="G111" s="15">
        <v>45211</v>
      </c>
      <c r="H111" s="15" t="str">
        <f>MID(HAF[[#This Row],[Client Program Name]], SEARCH( "-",HAF[[#This Row],[Client Program Name]])+1,LEN(HAF[[#This Row],[Client Program Name]])-(SEARCH( "-",HAF[[#This Row],[Client Program Name]])-1))</f>
        <v xml:space="preserve"> Halifax</v>
      </c>
      <c r="I111" s="16">
        <v>79309000</v>
      </c>
      <c r="J111" s="16">
        <f>IF(ISNUMBER(MATCH(HAF[[#This Row],[Client Program Name]],Table6[Client Program],0)), VLOOKUP(HAF[[#This Row],[Client Program Name]],Table6[], 6, FALSE), 0 )</f>
        <v>79309000</v>
      </c>
      <c r="K111" s="16">
        <f>IF(ISNUMBER(MATCH(HAF[[#This Row],[Client Program Name]],Table6[Client Program],0)), VLOOKUP(HAF[[#This Row],[Client Program Name]],Table6[], 7, FALSE), VLOOKUP(HAF[[#This Row],[Client Program Name]],Table2[], 7, FALSE) )</f>
        <v>12867</v>
      </c>
      <c r="L111" s="16">
        <v>2600</v>
      </c>
      <c r="M111" s="16">
        <f>IF(ISNUMBER(MATCH(HAF[[#This Row],[Client Program Name]],Table6[Client Program],0)), VLOOKUP(HAF[[#This Row],[Client Program Name]],Table6[], 9, FALSE), 0 )</f>
        <v>2600</v>
      </c>
      <c r="N111" s="16">
        <f>IF(ISNUMBER(MATCH(HAF[[#This Row],[Client Program Name]],Table6[Client Program],0)), VLOOKUP(HAF[[#This Row],[Client Program Name]],Table6[], 10, FALSE), VLOOKUP(HAF[[#This Row],[Client Program Name]],Table2[], 8, FALSE) )</f>
        <v>15467</v>
      </c>
      <c r="O111" s="16">
        <v>8866</v>
      </c>
      <c r="P111" s="3"/>
      <c r="Q111" s="14"/>
    </row>
    <row r="112" spans="1:17" x14ac:dyDescent="0.35">
      <c r="A112" s="14" t="s">
        <v>248</v>
      </c>
      <c r="B112" s="14" t="str">
        <f>IF(HAF[[#This Row],[Program]]="Housing Accelerator Fund", "Round One", "Round Two")</f>
        <v>Round One</v>
      </c>
      <c r="C112" s="14" t="s">
        <v>128</v>
      </c>
      <c r="D112" s="14" t="s">
        <v>127</v>
      </c>
      <c r="E112" s="14" t="s">
        <v>10</v>
      </c>
      <c r="F112" s="14" t="s">
        <v>11</v>
      </c>
      <c r="G112" s="15">
        <v>45345</v>
      </c>
      <c r="H112" s="15" t="str">
        <f>MID(HAF[[#This Row],[Client Program Name]], SEARCH( "-",HAF[[#This Row],[Client Program Name]])+1,LEN(HAF[[#This Row],[Client Program Name]])-(SEARCH( "-",HAF[[#This Row],[Client Program Name]])-1))</f>
        <v xml:space="preserve"> East Hants</v>
      </c>
      <c r="I112" s="16">
        <v>5885000</v>
      </c>
      <c r="J112" s="16">
        <f>IF(ISNUMBER(MATCH(HAF[[#This Row],[Client Program Name]],Table6[Client Program],0)), VLOOKUP(HAF[[#This Row],[Client Program Name]],Table6[], 6, FALSE), 0 )</f>
        <v>5885000</v>
      </c>
      <c r="K112" s="16">
        <f>IF(ISNUMBER(MATCH(HAF[[#This Row],[Client Program Name]],Table6[Client Program],0)), VLOOKUP(HAF[[#This Row],[Client Program Name]],Table6[], 7, FALSE), VLOOKUP(HAF[[#This Row],[Client Program Name]],Table2[], 7, FALSE) )</f>
        <v>974</v>
      </c>
      <c r="L112" s="16">
        <v>212</v>
      </c>
      <c r="M112" s="16">
        <f>IF(ISNUMBER(MATCH(HAF[[#This Row],[Client Program Name]],Table6[Client Program],0)), VLOOKUP(HAF[[#This Row],[Client Program Name]],Table6[], 9, FALSE), 0 )</f>
        <v>212</v>
      </c>
      <c r="N112" s="16">
        <f>IF(ISNUMBER(MATCH(HAF[[#This Row],[Client Program Name]],Table6[Client Program],0)), VLOOKUP(HAF[[#This Row],[Client Program Name]],Table6[], 10, FALSE), VLOOKUP(HAF[[#This Row],[Client Program Name]],Table2[], 8, FALSE) )</f>
        <v>1186</v>
      </c>
      <c r="O112" s="16">
        <v>2825</v>
      </c>
      <c r="P112" s="3"/>
      <c r="Q112" s="14"/>
    </row>
    <row r="113" spans="1:17" x14ac:dyDescent="0.35">
      <c r="A113" s="14" t="s">
        <v>248</v>
      </c>
      <c r="B113" s="14" t="str">
        <f>IF(HAF[[#This Row],[Program]]="Housing Accelerator Fund", "Round One", "Round Two")</f>
        <v>Round One</v>
      </c>
      <c r="C113" s="14" t="s">
        <v>126</v>
      </c>
      <c r="D113" s="14" t="s">
        <v>127</v>
      </c>
      <c r="E113" s="14" t="s">
        <v>10</v>
      </c>
      <c r="F113" s="14" t="s">
        <v>11</v>
      </c>
      <c r="G113" s="15">
        <v>45337</v>
      </c>
      <c r="H113" s="15" t="str">
        <f>MID(HAF[[#This Row],[Client Program Name]], SEARCH( "-",HAF[[#This Row],[Client Program Name]])+1,LEN(HAF[[#This Row],[Client Program Name]])-(SEARCH( "-",HAF[[#This Row],[Client Program Name]])-1))</f>
        <v xml:space="preserve"> Cape Breton Regional Municipality</v>
      </c>
      <c r="I113" s="16">
        <v>11380341</v>
      </c>
      <c r="J113" s="16">
        <f>IF(ISNUMBER(MATCH(HAF[[#This Row],[Client Program Name]],Table6[Client Program],0)), VLOOKUP(HAF[[#This Row],[Client Program Name]],Table6[], 6, FALSE), 0 )</f>
        <v>11380341</v>
      </c>
      <c r="K113" s="16">
        <f>IF(ISNUMBER(MATCH(HAF[[#This Row],[Client Program Name]],Table6[Client Program],0)), VLOOKUP(HAF[[#This Row],[Client Program Name]],Table6[], 7, FALSE), VLOOKUP(HAF[[#This Row],[Client Program Name]],Table2[], 7, FALSE) )</f>
        <v>671</v>
      </c>
      <c r="L113" s="16">
        <v>339</v>
      </c>
      <c r="M113" s="16">
        <f>IF(ISNUMBER(MATCH(HAF[[#This Row],[Client Program Name]],Table6[Client Program],0)), VLOOKUP(HAF[[#This Row],[Client Program Name]],Table6[], 9, FALSE), 0 )</f>
        <v>339</v>
      </c>
      <c r="N113" s="16">
        <f>IF(ISNUMBER(MATCH(HAF[[#This Row],[Client Program Name]],Table6[Client Program],0)), VLOOKUP(HAF[[#This Row],[Client Program Name]],Table6[], 10, FALSE), VLOOKUP(HAF[[#This Row],[Client Program Name]],Table2[], 8, FALSE) )</f>
        <v>1010</v>
      </c>
      <c r="O113" s="16">
        <v>3100</v>
      </c>
      <c r="P113" s="3"/>
      <c r="Q113" s="14"/>
    </row>
    <row r="114" spans="1:17" x14ac:dyDescent="0.35">
      <c r="A114" s="14" t="s">
        <v>248</v>
      </c>
      <c r="B114" s="14" t="str">
        <f>IF(HAF[[#This Row],[Program]]="Housing Accelerator Fund", "Round One", "Round Two")</f>
        <v>Round One</v>
      </c>
      <c r="C114" s="14" t="s">
        <v>135</v>
      </c>
      <c r="D114" s="14" t="s">
        <v>127</v>
      </c>
      <c r="E114" s="14" t="s">
        <v>10</v>
      </c>
      <c r="F114" s="14" t="s">
        <v>11</v>
      </c>
      <c r="G114" s="15">
        <v>45323</v>
      </c>
      <c r="H114" s="15" t="str">
        <f>MID(HAF[[#This Row],[Client Program Name]], SEARCH( "-",HAF[[#This Row],[Client Program Name]])+1,LEN(HAF[[#This Row],[Client Program Name]])-(SEARCH( "-",HAF[[#This Row],[Client Program Name]])-1))</f>
        <v xml:space="preserve"> Municipality of the District of Chester</v>
      </c>
      <c r="I114" s="16">
        <v>1986000</v>
      </c>
      <c r="J114" s="16">
        <f>IF(ISNUMBER(MATCH(HAF[[#This Row],[Client Program Name]],Table6[Client Program],0)), VLOOKUP(HAF[[#This Row],[Client Program Name]],Table6[], 6, FALSE), 0 )</f>
        <v>1986000</v>
      </c>
      <c r="K114" s="16">
        <f>IF(ISNUMBER(MATCH(HAF[[#This Row],[Client Program Name]],Table6[Client Program],0)), VLOOKUP(HAF[[#This Row],[Client Program Name]],Table6[], 7, FALSE), VLOOKUP(HAF[[#This Row],[Client Program Name]],Table2[], 7, FALSE) )</f>
        <v>150</v>
      </c>
      <c r="L114" s="16">
        <v>70</v>
      </c>
      <c r="M114" s="16">
        <f>IF(ISNUMBER(MATCH(HAF[[#This Row],[Client Program Name]],Table6[Client Program],0)), VLOOKUP(HAF[[#This Row],[Client Program Name]],Table6[], 9, FALSE), 0 )</f>
        <v>70</v>
      </c>
      <c r="N114" s="16">
        <f>IF(ISNUMBER(MATCH(HAF[[#This Row],[Client Program Name]],Table6[Client Program],0)), VLOOKUP(HAF[[#This Row],[Client Program Name]],Table6[], 10, FALSE), VLOOKUP(HAF[[#This Row],[Client Program Name]],Table2[], 8, FALSE) )</f>
        <v>220</v>
      </c>
      <c r="O114" s="16">
        <v>302</v>
      </c>
      <c r="P114" s="3"/>
      <c r="Q114" s="14"/>
    </row>
    <row r="115" spans="1:17" x14ac:dyDescent="0.35">
      <c r="A115" s="14" t="s">
        <v>248</v>
      </c>
      <c r="B115" s="14" t="str">
        <f>IF(HAF[[#This Row],[Program]]="Housing Accelerator Fund", "Round One", "Round Two")</f>
        <v>Round One</v>
      </c>
      <c r="C115" s="14" t="s">
        <v>133</v>
      </c>
      <c r="D115" s="14" t="s">
        <v>127</v>
      </c>
      <c r="E115" s="14" t="s">
        <v>10</v>
      </c>
      <c r="F115" s="14" t="s">
        <v>11</v>
      </c>
      <c r="G115" s="15">
        <v>45322</v>
      </c>
      <c r="H115" s="15" t="str">
        <f>MID(HAF[[#This Row],[Client Program Name]], SEARCH( "-",HAF[[#This Row],[Client Program Name]])+1,LEN(HAF[[#This Row],[Client Program Name]])-(SEARCH( "-",HAF[[#This Row],[Client Program Name]])-1))</f>
        <v xml:space="preserve"> Municipality of the County of Antigonish</v>
      </c>
      <c r="I115" s="16">
        <v>1919753</v>
      </c>
      <c r="J115" s="16">
        <f>IF(ISNUMBER(MATCH(HAF[[#This Row],[Client Program Name]],Table6[Client Program],0)), VLOOKUP(HAF[[#This Row],[Client Program Name]],Table6[], 6, FALSE), 0 )</f>
        <v>1919753</v>
      </c>
      <c r="K115" s="16">
        <f>IF(ISNUMBER(MATCH(HAF[[#This Row],[Client Program Name]],Table6[Client Program],0)), VLOOKUP(HAF[[#This Row],[Client Program Name]],Table6[], 7, FALSE), VLOOKUP(HAF[[#This Row],[Client Program Name]],Table2[], 7, FALSE) )</f>
        <v>345</v>
      </c>
      <c r="L115" s="16">
        <v>50</v>
      </c>
      <c r="M115" s="16">
        <f>IF(ISNUMBER(MATCH(HAF[[#This Row],[Client Program Name]],Table6[Client Program],0)), VLOOKUP(HAF[[#This Row],[Client Program Name]],Table6[], 9, FALSE), 0 )</f>
        <v>50</v>
      </c>
      <c r="N115" s="16">
        <f>IF(ISNUMBER(MATCH(HAF[[#This Row],[Client Program Name]],Table6[Client Program],0)), VLOOKUP(HAF[[#This Row],[Client Program Name]],Table6[], 10, FALSE), VLOOKUP(HAF[[#This Row],[Client Program Name]],Table2[], 8, FALSE) )</f>
        <v>395</v>
      </c>
      <c r="O115" s="16">
        <v>140</v>
      </c>
      <c r="P115" s="3"/>
      <c r="Q115" s="14"/>
    </row>
    <row r="116" spans="1:17" x14ac:dyDescent="0.35">
      <c r="A116" s="14" t="s">
        <v>248</v>
      </c>
      <c r="B116" s="14" t="str">
        <f>IF(HAF[[#This Row],[Program]]="Housing Accelerator Fund", "Round One", "Round Two")</f>
        <v>Round One</v>
      </c>
      <c r="C116" s="14" t="s">
        <v>139</v>
      </c>
      <c r="D116" s="14" t="s">
        <v>127</v>
      </c>
      <c r="E116" s="14" t="s">
        <v>17</v>
      </c>
      <c r="F116" s="14" t="s">
        <v>11</v>
      </c>
      <c r="G116" s="15">
        <v>45321</v>
      </c>
      <c r="H116" s="15" t="str">
        <f>MID(HAF[[#This Row],[Client Program Name]], SEARCH( "-",HAF[[#This Row],[Client Program Name]])+1,LEN(HAF[[#This Row],[Client Program Name]])-(SEARCH( "-",HAF[[#This Row],[Client Program Name]])-1))</f>
        <v xml:space="preserve"> Town of Antigonish</v>
      </c>
      <c r="I116" s="16">
        <v>1316000</v>
      </c>
      <c r="J116" s="16">
        <f>IF(ISNUMBER(MATCH(HAF[[#This Row],[Client Program Name]],Table6[Client Program],0)), VLOOKUP(HAF[[#This Row],[Client Program Name]],Table6[], 6, FALSE), 0 )</f>
        <v>1316000</v>
      </c>
      <c r="K116" s="16">
        <f>IF(ISNUMBER(MATCH(HAF[[#This Row],[Client Program Name]],Table6[Client Program],0)), VLOOKUP(HAF[[#This Row],[Client Program Name]],Table6[], 7, FALSE), VLOOKUP(HAF[[#This Row],[Client Program Name]],Table2[], 7, FALSE) )</f>
        <v>30</v>
      </c>
      <c r="L116" s="16">
        <v>43</v>
      </c>
      <c r="M116" s="16">
        <f>IF(ISNUMBER(MATCH(HAF[[#This Row],[Client Program Name]],Table6[Client Program],0)), VLOOKUP(HAF[[#This Row],[Client Program Name]],Table6[], 9, FALSE), 0 )</f>
        <v>43</v>
      </c>
      <c r="N116" s="16">
        <f>IF(ISNUMBER(MATCH(HAF[[#This Row],[Client Program Name]],Table6[Client Program],0)), VLOOKUP(HAF[[#This Row],[Client Program Name]],Table6[], 10, FALSE), VLOOKUP(HAF[[#This Row],[Client Program Name]],Table2[], 8, FALSE) )</f>
        <v>73</v>
      </c>
      <c r="O116" s="16">
        <v>136</v>
      </c>
      <c r="P116" s="3"/>
      <c r="Q116" s="14"/>
    </row>
    <row r="117" spans="1:17" x14ac:dyDescent="0.35">
      <c r="A117" s="14" t="s">
        <v>248</v>
      </c>
      <c r="B117" s="14" t="str">
        <f>IF(HAF[[#This Row],[Program]]="Housing Accelerator Fund", "Round One", "Round Two")</f>
        <v>Round One</v>
      </c>
      <c r="C117" s="14" t="s">
        <v>142</v>
      </c>
      <c r="D117" s="14" t="s">
        <v>127</v>
      </c>
      <c r="E117" s="14" t="s">
        <v>17</v>
      </c>
      <c r="F117" s="14" t="s">
        <v>11</v>
      </c>
      <c r="G117" s="15">
        <v>45314</v>
      </c>
      <c r="H117" s="15" t="str">
        <f>MID(HAF[[#This Row],[Client Program Name]], SEARCH( "-",HAF[[#This Row],[Client Program Name]])+1,LEN(HAF[[#This Row],[Client Program Name]])-(SEARCH( "-",HAF[[#This Row],[Client Program Name]])-1))</f>
        <v xml:space="preserve"> Town of Pictou</v>
      </c>
      <c r="I117" s="16">
        <v>775013.3</v>
      </c>
      <c r="J117" s="16">
        <f>IF(ISNUMBER(MATCH(HAF[[#This Row],[Client Program Name]],Table6[Client Program],0)), VLOOKUP(HAF[[#This Row],[Client Program Name]],Table6[], 6, FALSE), 0 )</f>
        <v>775013</v>
      </c>
      <c r="K117" s="16">
        <f>IF(ISNUMBER(MATCH(HAF[[#This Row],[Client Program Name]],Table6[Client Program],0)), VLOOKUP(HAF[[#This Row],[Client Program Name]],Table6[], 7, FALSE), VLOOKUP(HAF[[#This Row],[Client Program Name]],Table2[], 7, FALSE) )</f>
        <v>51</v>
      </c>
      <c r="L117" s="16">
        <v>28</v>
      </c>
      <c r="M117" s="16">
        <f>IF(ISNUMBER(MATCH(HAF[[#This Row],[Client Program Name]],Table6[Client Program],0)), VLOOKUP(HAF[[#This Row],[Client Program Name]],Table6[], 9, FALSE), 0 )</f>
        <v>28</v>
      </c>
      <c r="N117" s="16">
        <f>IF(ISNUMBER(MATCH(HAF[[#This Row],[Client Program Name]],Table6[Client Program],0)), VLOOKUP(HAF[[#This Row],[Client Program Name]],Table6[], 10, FALSE), VLOOKUP(HAF[[#This Row],[Client Program Name]],Table2[], 8, FALSE) )</f>
        <v>79</v>
      </c>
      <c r="O117" s="16">
        <v>375</v>
      </c>
      <c r="P117" s="3"/>
      <c r="Q117" s="14"/>
    </row>
    <row r="118" spans="1:17" x14ac:dyDescent="0.35">
      <c r="A118" s="14" t="s">
        <v>248</v>
      </c>
      <c r="B118" s="14" t="str">
        <f>IF(HAF[[#This Row],[Program]]="Housing Accelerator Fund", "Round One", "Round Two")</f>
        <v>Round One</v>
      </c>
      <c r="C118" s="14" t="s">
        <v>141</v>
      </c>
      <c r="D118" s="14" t="s">
        <v>127</v>
      </c>
      <c r="E118" s="14" t="s">
        <v>17</v>
      </c>
      <c r="F118" s="14" t="s">
        <v>11</v>
      </c>
      <c r="G118" s="15">
        <v>45322</v>
      </c>
      <c r="H118" s="15" t="str">
        <f>MID(HAF[[#This Row],[Client Program Name]], SEARCH( "-",HAF[[#This Row],[Client Program Name]])+1,LEN(HAF[[#This Row],[Client Program Name]])-(SEARCH( "-",HAF[[#This Row],[Client Program Name]])-1))</f>
        <v xml:space="preserve"> Town of New Glasgow</v>
      </c>
      <c r="I118" s="16">
        <v>3260024.7</v>
      </c>
      <c r="J118" s="16">
        <f>IF(ISNUMBER(MATCH(HAF[[#This Row],[Client Program Name]],Table6[Client Program],0)), VLOOKUP(HAF[[#This Row],[Client Program Name]],Table6[], 6, FALSE), 0 )</f>
        <v>3260025</v>
      </c>
      <c r="K118" s="16">
        <f>IF(ISNUMBER(MATCH(HAF[[#This Row],[Client Program Name]],Table6[Client Program],0)), VLOOKUP(HAF[[#This Row],[Client Program Name]],Table6[], 7, FALSE), VLOOKUP(HAF[[#This Row],[Client Program Name]],Table2[], 7, FALSE) )</f>
        <v>119</v>
      </c>
      <c r="L118" s="16">
        <v>90</v>
      </c>
      <c r="M118" s="16">
        <f>IF(ISNUMBER(MATCH(HAF[[#This Row],[Client Program Name]],Table6[Client Program],0)), VLOOKUP(HAF[[#This Row],[Client Program Name]],Table6[], 9, FALSE), 0 )</f>
        <v>90</v>
      </c>
      <c r="N118" s="16">
        <f>IF(ISNUMBER(MATCH(HAF[[#This Row],[Client Program Name]],Table6[Client Program],0)), VLOOKUP(HAF[[#This Row],[Client Program Name]],Table6[], 10, FALSE), VLOOKUP(HAF[[#This Row],[Client Program Name]],Table2[], 8, FALSE) )</f>
        <v>209</v>
      </c>
      <c r="O118" s="16">
        <v>500</v>
      </c>
      <c r="P118" s="3"/>
      <c r="Q118" s="14"/>
    </row>
    <row r="119" spans="1:17" x14ac:dyDescent="0.35">
      <c r="A119" s="14" t="s">
        <v>248</v>
      </c>
      <c r="B119" s="14" t="str">
        <f>IF(HAF[[#This Row],[Program]]="Housing Accelerator Fund", "Round One", "Round Two")</f>
        <v>Round One</v>
      </c>
      <c r="C119" s="14" t="s">
        <v>138</v>
      </c>
      <c r="D119" s="14" t="s">
        <v>127</v>
      </c>
      <c r="E119" s="14" t="s">
        <v>17</v>
      </c>
      <c r="F119" s="14" t="s">
        <v>11</v>
      </c>
      <c r="G119" s="15">
        <v>45322</v>
      </c>
      <c r="H119" s="15" t="str">
        <f>MID(HAF[[#This Row],[Client Program Name]], SEARCH( "-",HAF[[#This Row],[Client Program Name]])+1,LEN(HAF[[#This Row],[Client Program Name]])-(SEARCH( "-",HAF[[#This Row],[Client Program Name]])-1))</f>
        <v xml:space="preserve"> Town of  Westville</v>
      </c>
      <c r="I119" s="16">
        <v>1560000</v>
      </c>
      <c r="J119" s="16">
        <f>IF(ISNUMBER(MATCH(HAF[[#This Row],[Client Program Name]],Table6[Client Program],0)), VLOOKUP(HAF[[#This Row],[Client Program Name]],Table6[], 6, FALSE), 0 )</f>
        <v>1560000</v>
      </c>
      <c r="K119" s="16">
        <f>IF(ISNUMBER(MATCH(HAF[[#This Row],[Client Program Name]],Table6[Client Program],0)), VLOOKUP(HAF[[#This Row],[Client Program Name]],Table6[], 7, FALSE), VLOOKUP(HAF[[#This Row],[Client Program Name]],Table2[], 7, FALSE) )</f>
        <v>18</v>
      </c>
      <c r="L119" s="16">
        <v>78</v>
      </c>
      <c r="M119" s="16">
        <f>IF(ISNUMBER(MATCH(HAF[[#This Row],[Client Program Name]],Table6[Client Program],0)), VLOOKUP(HAF[[#This Row],[Client Program Name]],Table6[], 9, FALSE), 0 )</f>
        <v>78</v>
      </c>
      <c r="N119" s="16">
        <f>IF(ISNUMBER(MATCH(HAF[[#This Row],[Client Program Name]],Table6[Client Program],0)), VLOOKUP(HAF[[#This Row],[Client Program Name]],Table6[], 10, FALSE), VLOOKUP(HAF[[#This Row],[Client Program Name]],Table2[], 8, FALSE) )</f>
        <v>96</v>
      </c>
      <c r="O119" s="16">
        <v>1620</v>
      </c>
      <c r="P119" s="3"/>
      <c r="Q119" s="14"/>
    </row>
    <row r="120" spans="1:17" x14ac:dyDescent="0.35">
      <c r="A120" s="14" t="s">
        <v>248</v>
      </c>
      <c r="B120" s="14" t="str">
        <f>IF(HAF[[#This Row],[Program]]="Housing Accelerator Fund", "Round One", "Round Two")</f>
        <v>Round One</v>
      </c>
      <c r="C120" s="14" t="s">
        <v>143</v>
      </c>
      <c r="D120" s="14" t="s">
        <v>127</v>
      </c>
      <c r="E120" s="14" t="s">
        <v>17</v>
      </c>
      <c r="F120" s="14" t="s">
        <v>11</v>
      </c>
      <c r="G120" s="15">
        <v>45323</v>
      </c>
      <c r="H120" s="15" t="str">
        <f>MID(HAF[[#This Row],[Client Program Name]], SEARCH( "-",HAF[[#This Row],[Client Program Name]])+1,LEN(HAF[[#This Row],[Client Program Name]])-(SEARCH( "-",HAF[[#This Row],[Client Program Name]])-1))</f>
        <v xml:space="preserve"> Town of Wolfville</v>
      </c>
      <c r="I120" s="16">
        <v>1827600</v>
      </c>
      <c r="J120" s="16">
        <f>IF(ISNUMBER(MATCH(HAF[[#This Row],[Client Program Name]],Table6[Client Program],0)), VLOOKUP(HAF[[#This Row],[Client Program Name]],Table6[], 6, FALSE), 0 )</f>
        <v>1827600</v>
      </c>
      <c r="K120" s="16">
        <f>IF(ISNUMBER(MATCH(HAF[[#This Row],[Client Program Name]],Table6[Client Program],0)), VLOOKUP(HAF[[#This Row],[Client Program Name]],Table6[], 7, FALSE), VLOOKUP(HAF[[#This Row],[Client Program Name]],Table2[], 7, FALSE) )</f>
        <v>75</v>
      </c>
      <c r="L120" s="16">
        <v>45</v>
      </c>
      <c r="M120" s="16">
        <f>IF(ISNUMBER(MATCH(HAF[[#This Row],[Client Program Name]],Table6[Client Program],0)), VLOOKUP(HAF[[#This Row],[Client Program Name]],Table6[], 9, FALSE), 0 )</f>
        <v>45</v>
      </c>
      <c r="N120" s="16">
        <f>IF(ISNUMBER(MATCH(HAF[[#This Row],[Client Program Name]],Table6[Client Program],0)), VLOOKUP(HAF[[#This Row],[Client Program Name]],Table6[], 10, FALSE), VLOOKUP(HAF[[#This Row],[Client Program Name]],Table2[], 8, FALSE) )</f>
        <v>120</v>
      </c>
      <c r="O120" s="16">
        <v>280</v>
      </c>
      <c r="P120" s="3"/>
      <c r="Q120" s="14"/>
    </row>
    <row r="121" spans="1:17" x14ac:dyDescent="0.35">
      <c r="A121" s="14" t="s">
        <v>248</v>
      </c>
      <c r="B121" s="14" t="str">
        <f>IF(HAF[[#This Row],[Program]]="Housing Accelerator Fund", "Round One", "Round Two")</f>
        <v>Round One</v>
      </c>
      <c r="C121" s="14" t="s">
        <v>140</v>
      </c>
      <c r="D121" s="14" t="s">
        <v>127</v>
      </c>
      <c r="E121" s="14" t="s">
        <v>17</v>
      </c>
      <c r="F121" s="14" t="s">
        <v>11</v>
      </c>
      <c r="G121" s="15">
        <v>45322</v>
      </c>
      <c r="H121" s="15" t="str">
        <f>MID(HAF[[#This Row],[Client Program Name]], SEARCH( "-",HAF[[#This Row],[Client Program Name]])+1,LEN(HAF[[#This Row],[Client Program Name]])-(SEARCH( "-",HAF[[#This Row],[Client Program Name]])-1))</f>
        <v xml:space="preserve"> Town of Lunenburg</v>
      </c>
      <c r="I121" s="16">
        <v>1158943</v>
      </c>
      <c r="J121" s="16">
        <f>IF(ISNUMBER(MATCH(HAF[[#This Row],[Client Program Name]],Table6[Client Program],0)), VLOOKUP(HAF[[#This Row],[Client Program Name]],Table6[], 6, FALSE), 0 )</f>
        <v>1158943</v>
      </c>
      <c r="K121" s="16">
        <f>IF(ISNUMBER(MATCH(HAF[[#This Row],[Client Program Name]],Table6[Client Program],0)), VLOOKUP(HAF[[#This Row],[Client Program Name]],Table6[], 7, FALSE), VLOOKUP(HAF[[#This Row],[Client Program Name]],Table2[], 7, FALSE) )</f>
        <v>99</v>
      </c>
      <c r="L121" s="16">
        <v>36</v>
      </c>
      <c r="M121" s="16">
        <f>IF(ISNUMBER(MATCH(HAF[[#This Row],[Client Program Name]],Table6[Client Program],0)), VLOOKUP(HAF[[#This Row],[Client Program Name]],Table6[], 9, FALSE), 0 )</f>
        <v>36</v>
      </c>
      <c r="N121" s="16">
        <f>IF(ISNUMBER(MATCH(HAF[[#This Row],[Client Program Name]],Table6[Client Program],0)), VLOOKUP(HAF[[#This Row],[Client Program Name]],Table6[], 10, FALSE), VLOOKUP(HAF[[#This Row],[Client Program Name]],Table2[], 8, FALSE) )</f>
        <v>135</v>
      </c>
      <c r="O121" s="16">
        <v>303</v>
      </c>
      <c r="P121" s="3"/>
      <c r="Q121" s="14"/>
    </row>
    <row r="122" spans="1:17" x14ac:dyDescent="0.35">
      <c r="A122" s="14" t="s">
        <v>248</v>
      </c>
      <c r="B122" s="14" t="str">
        <f>IF(HAF[[#This Row],[Program]]="Housing Accelerator Fund", "Round One", "Round Two")</f>
        <v>Round One</v>
      </c>
      <c r="C122" s="14" t="s">
        <v>136</v>
      </c>
      <c r="D122" s="14" t="s">
        <v>127</v>
      </c>
      <c r="E122" s="14" t="s">
        <v>17</v>
      </c>
      <c r="F122" s="14" t="s">
        <v>18</v>
      </c>
      <c r="G122" s="15">
        <v>45321</v>
      </c>
      <c r="H122" s="15" t="str">
        <f>MID(HAF[[#This Row],[Client Program Name]], SEARCH( "-",HAF[[#This Row],[Client Program Name]])+1,LEN(HAF[[#This Row],[Client Program Name]])-(SEARCH( "-",HAF[[#This Row],[Client Program Name]])-1))</f>
        <v xml:space="preserve"> Paqtnkek Mi'kmaw Nation</v>
      </c>
      <c r="I122" s="16">
        <v>1253000</v>
      </c>
      <c r="J122" s="16">
        <f>IF(ISNUMBER(MATCH(HAF[[#This Row],[Client Program Name]],Table6[Client Program],0)), VLOOKUP(HAF[[#This Row],[Client Program Name]],Table6[], 6, FALSE), 0 )</f>
        <v>1253000</v>
      </c>
      <c r="K122" s="16">
        <f>IF(ISNUMBER(MATCH(HAF[[#This Row],[Client Program Name]],Table6[Client Program],0)), VLOOKUP(HAF[[#This Row],[Client Program Name]],Table6[], 7, FALSE), VLOOKUP(HAF[[#This Row],[Client Program Name]],Table2[], 7, FALSE) )</f>
        <v>3</v>
      </c>
      <c r="L122" s="16">
        <v>18</v>
      </c>
      <c r="M122" s="16">
        <f>IF(ISNUMBER(MATCH(HAF[[#This Row],[Client Program Name]],Table6[Client Program],0)), VLOOKUP(HAF[[#This Row],[Client Program Name]],Table6[], 9, FALSE), 0 )</f>
        <v>18</v>
      </c>
      <c r="N122" s="16">
        <f>IF(ISNUMBER(MATCH(HAF[[#This Row],[Client Program Name]],Table6[Client Program],0)), VLOOKUP(HAF[[#This Row],[Client Program Name]],Table6[], 10, FALSE), VLOOKUP(HAF[[#This Row],[Client Program Name]],Table2[], 8, FALSE) )</f>
        <v>21</v>
      </c>
      <c r="O122" s="16">
        <v>125</v>
      </c>
      <c r="P122" s="3"/>
      <c r="Q122" s="14"/>
    </row>
    <row r="123" spans="1:17" x14ac:dyDescent="0.35">
      <c r="A123" s="14" t="s">
        <v>248</v>
      </c>
      <c r="B123" s="14" t="str">
        <f>IF(HAF[[#This Row],[Program]]="Housing Accelerator Fund", "Round One", "Round Two")</f>
        <v>Round One</v>
      </c>
      <c r="C123" s="14" t="s">
        <v>131</v>
      </c>
      <c r="D123" s="14" t="s">
        <v>127</v>
      </c>
      <c r="E123" s="14" t="s">
        <v>17</v>
      </c>
      <c r="F123" s="14" t="s">
        <v>18</v>
      </c>
      <c r="G123" s="15">
        <v>45323</v>
      </c>
      <c r="H123" s="15" t="str">
        <f>MID(HAF[[#This Row],[Client Program Name]], SEARCH( "-",HAF[[#This Row],[Client Program Name]])+1,LEN(HAF[[#This Row],[Client Program Name]])-(SEARCH( "-",HAF[[#This Row],[Client Program Name]])-1))</f>
        <v xml:space="preserve"> Membertou First Nation</v>
      </c>
      <c r="I123" s="16">
        <v>1940000</v>
      </c>
      <c r="J123" s="16">
        <f>IF(ISNUMBER(MATCH(HAF[[#This Row],[Client Program Name]],Table6[Client Program],0)), VLOOKUP(HAF[[#This Row],[Client Program Name]],Table6[], 6, FALSE), 0 )</f>
        <v>1940000</v>
      </c>
      <c r="K123" s="16">
        <f>IF(ISNUMBER(MATCH(HAF[[#This Row],[Client Program Name]],Table6[Client Program],0)), VLOOKUP(HAF[[#This Row],[Client Program Name]],Table6[], 7, FALSE), VLOOKUP(HAF[[#This Row],[Client Program Name]],Table2[], 7, FALSE) )</f>
        <v>18</v>
      </c>
      <c r="L123" s="16">
        <v>28</v>
      </c>
      <c r="M123" s="16">
        <f>IF(ISNUMBER(MATCH(HAF[[#This Row],[Client Program Name]],Table6[Client Program],0)), VLOOKUP(HAF[[#This Row],[Client Program Name]],Table6[], 9, FALSE), 0 )</f>
        <v>28</v>
      </c>
      <c r="N123" s="16">
        <f>IF(ISNUMBER(MATCH(HAF[[#This Row],[Client Program Name]],Table6[Client Program],0)), VLOOKUP(HAF[[#This Row],[Client Program Name]],Table6[], 10, FALSE), VLOOKUP(HAF[[#This Row],[Client Program Name]],Table2[], 8, FALSE) )</f>
        <v>46</v>
      </c>
      <c r="O123" s="16">
        <v>186</v>
      </c>
      <c r="P123" s="3"/>
      <c r="Q123" s="14"/>
    </row>
    <row r="124" spans="1:17" x14ac:dyDescent="0.35">
      <c r="A124" s="14" t="s">
        <v>248</v>
      </c>
      <c r="B124" s="14" t="str">
        <f>IF(HAF[[#This Row],[Program]]="Housing Accelerator Fund", "Round One", "Round Two")</f>
        <v>Round One</v>
      </c>
      <c r="C124" s="14" t="s">
        <v>137</v>
      </c>
      <c r="D124" s="14" t="s">
        <v>127</v>
      </c>
      <c r="E124" s="14" t="s">
        <v>17</v>
      </c>
      <c r="F124" s="14" t="s">
        <v>18</v>
      </c>
      <c r="G124" s="15">
        <v>45321</v>
      </c>
      <c r="H124" s="15" t="str">
        <f>MID(HAF[[#This Row],[Client Program Name]], SEARCH( "-",HAF[[#This Row],[Client Program Name]])+1,LEN(HAF[[#This Row],[Client Program Name]])-(SEARCH( "-",HAF[[#This Row],[Client Program Name]])-1))</f>
        <v xml:space="preserve"> Pictou Landing First Nation</v>
      </c>
      <c r="I124" s="16">
        <v>531000</v>
      </c>
      <c r="J124" s="16">
        <f>IF(ISNUMBER(MATCH(HAF[[#This Row],[Client Program Name]],Table6[Client Program],0)), VLOOKUP(HAF[[#This Row],[Client Program Name]],Table6[], 6, FALSE), 0 )</f>
        <v>531000</v>
      </c>
      <c r="K124" s="16">
        <f>IF(ISNUMBER(MATCH(HAF[[#This Row],[Client Program Name]],Table6[Client Program],0)), VLOOKUP(HAF[[#This Row],[Client Program Name]],Table6[], 7, FALSE), VLOOKUP(HAF[[#This Row],[Client Program Name]],Table2[], 7, FALSE) )</f>
        <v>6</v>
      </c>
      <c r="L124" s="16">
        <v>9</v>
      </c>
      <c r="M124" s="16">
        <f>IF(ISNUMBER(MATCH(HAF[[#This Row],[Client Program Name]],Table6[Client Program],0)), VLOOKUP(HAF[[#This Row],[Client Program Name]],Table6[], 9, FALSE), 0 )</f>
        <v>9</v>
      </c>
      <c r="N124" s="16">
        <f>IF(ISNUMBER(MATCH(HAF[[#This Row],[Client Program Name]],Table6[Client Program],0)), VLOOKUP(HAF[[#This Row],[Client Program Name]],Table6[], 10, FALSE), VLOOKUP(HAF[[#This Row],[Client Program Name]],Table2[], 8, FALSE) )</f>
        <v>15</v>
      </c>
      <c r="O124" s="16">
        <v>34</v>
      </c>
      <c r="P124" s="3"/>
      <c r="Q124" s="14"/>
    </row>
    <row r="125" spans="1:17" x14ac:dyDescent="0.35">
      <c r="A125" s="14" t="s">
        <v>248</v>
      </c>
      <c r="B125" s="14" t="str">
        <f>IF(HAF[[#This Row],[Program]]="Housing Accelerator Fund", "Round One", "Round Two")</f>
        <v>Round One</v>
      </c>
      <c r="C125" s="14" t="s">
        <v>132</v>
      </c>
      <c r="D125" s="14" t="s">
        <v>127</v>
      </c>
      <c r="E125" s="14" t="s">
        <v>17</v>
      </c>
      <c r="F125" s="14" t="s">
        <v>18</v>
      </c>
      <c r="G125" s="15">
        <v>45321</v>
      </c>
      <c r="H125" s="15" t="str">
        <f>MID(HAF[[#This Row],[Client Program Name]], SEARCH( "-",HAF[[#This Row],[Client Program Name]])+1,LEN(HAF[[#This Row],[Client Program Name]])-(SEARCH( "-",HAF[[#This Row],[Client Program Name]])-1))</f>
        <v xml:space="preserve"> Millbrook First Nation</v>
      </c>
      <c r="I125" s="16">
        <v>2482000</v>
      </c>
      <c r="J125" s="16">
        <f>IF(ISNUMBER(MATCH(HAF[[#This Row],[Client Program Name]],Table6[Client Program],0)), VLOOKUP(HAF[[#This Row],[Client Program Name]],Table6[], 6, FALSE), 0 )</f>
        <v>2482000</v>
      </c>
      <c r="K125" s="16">
        <f>IF(ISNUMBER(MATCH(HAF[[#This Row],[Client Program Name]],Table6[Client Program],0)), VLOOKUP(HAF[[#This Row],[Client Program Name]],Table6[], 7, FALSE), VLOOKUP(HAF[[#This Row],[Client Program Name]],Table2[], 7, FALSE) )</f>
        <v>84</v>
      </c>
      <c r="L125" s="16">
        <v>38</v>
      </c>
      <c r="M125" s="16">
        <f>IF(ISNUMBER(MATCH(HAF[[#This Row],[Client Program Name]],Table6[Client Program],0)), VLOOKUP(HAF[[#This Row],[Client Program Name]],Table6[], 9, FALSE), 0 )</f>
        <v>38</v>
      </c>
      <c r="N125" s="16">
        <f>IF(ISNUMBER(MATCH(HAF[[#This Row],[Client Program Name]],Table6[Client Program],0)), VLOOKUP(HAF[[#This Row],[Client Program Name]],Table6[], 10, FALSE), VLOOKUP(HAF[[#This Row],[Client Program Name]],Table2[], 8, FALSE) )</f>
        <v>122</v>
      </c>
      <c r="O125" s="16">
        <v>110</v>
      </c>
      <c r="P125" s="3"/>
      <c r="Q125" s="14"/>
    </row>
    <row r="126" spans="1:17" x14ac:dyDescent="0.35">
      <c r="A126" s="14" t="s">
        <v>249</v>
      </c>
      <c r="B126" s="14" t="str">
        <f>IF(HAF[[#This Row],[Program]]="Housing Accelerator Fund", "Round One", "Round Two")</f>
        <v>Round Two</v>
      </c>
      <c r="C126" s="14" t="s">
        <v>275</v>
      </c>
      <c r="D126" s="14" t="s">
        <v>127</v>
      </c>
      <c r="E126" s="14" t="s">
        <v>17</v>
      </c>
      <c r="F126" s="14" t="s">
        <v>11</v>
      </c>
      <c r="G126" s="15">
        <v>45679</v>
      </c>
      <c r="H126" s="15" t="str">
        <f>MID(HAF[[#This Row],[Client Program Name]], SEARCH( "-",HAF[[#This Row],[Client Program Name]])+1,LEN(HAF[[#This Row],[Client Program Name]])-(SEARCH( "-",HAF[[#This Row],[Client Program Name]])-1))</f>
        <v xml:space="preserve"> Town of Mahone Bay</v>
      </c>
      <c r="I126" s="16">
        <v>417030.40000000002</v>
      </c>
      <c r="J126" s="16">
        <f>IF(ISNUMBER(MATCH(HAF[[#This Row],[Client Program Name]],Table6[Client Program],0)), VLOOKUP(HAF[[#This Row],[Client Program Name]],Table6[], 6, FALSE), 0 )</f>
        <v>0</v>
      </c>
      <c r="K126" s="16">
        <f>IF(ISNUMBER(MATCH(HAF[[#This Row],[Client Program Name]],Table6[Client Program],0)), VLOOKUP(HAF[[#This Row],[Client Program Name]],Table6[], 7, FALSE), VLOOKUP(HAF[[#This Row],[Client Program Name]],Table2[], 7, FALSE) )</f>
        <v>23</v>
      </c>
      <c r="L126" s="16">
        <v>13</v>
      </c>
      <c r="M126" s="16">
        <f>IF(ISNUMBER(MATCH(HAF[[#This Row],[Client Program Name]],Table6[Client Program],0)), VLOOKUP(HAF[[#This Row],[Client Program Name]],Table6[], 9, FALSE), 0 )</f>
        <v>0</v>
      </c>
      <c r="N126" s="16">
        <f>IF(ISNUMBER(MATCH(HAF[[#This Row],[Client Program Name]],Table6[Client Program],0)), VLOOKUP(HAF[[#This Row],[Client Program Name]],Table6[], 10, FALSE), VLOOKUP(HAF[[#This Row],[Client Program Name]],Table2[], 8, FALSE) )</f>
        <v>36</v>
      </c>
      <c r="O126" s="16">
        <v>250</v>
      </c>
      <c r="P126" s="3"/>
      <c r="Q126" s="14"/>
    </row>
    <row r="127" spans="1:17" x14ac:dyDescent="0.35">
      <c r="A127" s="14" t="s">
        <v>249</v>
      </c>
      <c r="B127" s="14" t="str">
        <f>IF(HAF[[#This Row],[Program]]="Housing Accelerator Fund", "Round One", "Round Two")</f>
        <v>Round Two</v>
      </c>
      <c r="C127" s="14" t="s">
        <v>276</v>
      </c>
      <c r="D127" s="14" t="s">
        <v>127</v>
      </c>
      <c r="E127" s="14" t="s">
        <v>17</v>
      </c>
      <c r="F127" s="14" t="s">
        <v>11</v>
      </c>
      <c r="G127" s="15">
        <v>45637</v>
      </c>
      <c r="H127" s="15" t="str">
        <f>MID(HAF[[#This Row],[Client Program Name]], SEARCH( "-",HAF[[#This Row],[Client Program Name]])+1,LEN(HAF[[#This Row],[Client Program Name]])-(SEARCH( "-",HAF[[#This Row],[Client Program Name]])-1))</f>
        <v xml:space="preserve"> Town of Bridgewater</v>
      </c>
      <c r="I127" s="16">
        <v>3368920</v>
      </c>
      <c r="J127" s="16">
        <f>IF(ISNUMBER(MATCH(HAF[[#This Row],[Client Program Name]],Table6[Client Program],0)), VLOOKUP(HAF[[#This Row],[Client Program Name]],Table6[], 6, FALSE), 0 )</f>
        <v>0</v>
      </c>
      <c r="K127" s="16">
        <f>IF(ISNUMBER(MATCH(HAF[[#This Row],[Client Program Name]],Table6[Client Program],0)), VLOOKUP(HAF[[#This Row],[Client Program Name]],Table6[], 7, FALSE), VLOOKUP(HAF[[#This Row],[Client Program Name]],Table2[], 7, FALSE) )</f>
        <v>267</v>
      </c>
      <c r="L127" s="16">
        <v>100</v>
      </c>
      <c r="M127" s="16">
        <f>IF(ISNUMBER(MATCH(HAF[[#This Row],[Client Program Name]],Table6[Client Program],0)), VLOOKUP(HAF[[#This Row],[Client Program Name]],Table6[], 9, FALSE), 0 )</f>
        <v>0</v>
      </c>
      <c r="N127" s="16">
        <f>IF(ISNUMBER(MATCH(HAF[[#This Row],[Client Program Name]],Table6[Client Program],0)), VLOOKUP(HAF[[#This Row],[Client Program Name]],Table6[], 10, FALSE), VLOOKUP(HAF[[#This Row],[Client Program Name]],Table2[], 8, FALSE) )</f>
        <v>367</v>
      </c>
      <c r="O127" s="16">
        <v>365</v>
      </c>
      <c r="P127" s="3"/>
      <c r="Q127" s="14"/>
    </row>
    <row r="128" spans="1:17" x14ac:dyDescent="0.35">
      <c r="A128" s="14" t="s">
        <v>249</v>
      </c>
      <c r="B128" s="14" t="str">
        <f>IF(HAF[[#This Row],[Program]]="Housing Accelerator Fund", "Round One", "Round Two")</f>
        <v>Round Two</v>
      </c>
      <c r="C128" s="14" t="s">
        <v>277</v>
      </c>
      <c r="D128" s="14" t="s">
        <v>127</v>
      </c>
      <c r="E128" s="14" t="s">
        <v>17</v>
      </c>
      <c r="F128" s="14" t="s">
        <v>11</v>
      </c>
      <c r="G128" s="15">
        <v>45679</v>
      </c>
      <c r="H128" s="15" t="str">
        <f>MID(HAF[[#This Row],[Client Program Name]], SEARCH( "-",HAF[[#This Row],[Client Program Name]])+1,LEN(HAF[[#This Row],[Client Program Name]])-(SEARCH( "-",HAF[[#This Row],[Client Program Name]])-1))</f>
        <v xml:space="preserve"> Municipality of the District of Shelburne</v>
      </c>
      <c r="I128" s="16">
        <v>1546000</v>
      </c>
      <c r="J128" s="16">
        <f>IF(ISNUMBER(MATCH(HAF[[#This Row],[Client Program Name]],Table6[Client Program],0)), VLOOKUP(HAF[[#This Row],[Client Program Name]],Table6[], 6, FALSE), 0 )</f>
        <v>0</v>
      </c>
      <c r="K128" s="16">
        <f>IF(ISNUMBER(MATCH(HAF[[#This Row],[Client Program Name]],Table6[Client Program],0)), VLOOKUP(HAF[[#This Row],[Client Program Name]],Table6[], 7, FALSE), VLOOKUP(HAF[[#This Row],[Client Program Name]],Table2[], 7, FALSE) )</f>
        <v>72</v>
      </c>
      <c r="L128" s="16">
        <v>40</v>
      </c>
      <c r="M128" s="16">
        <f>IF(ISNUMBER(MATCH(HAF[[#This Row],[Client Program Name]],Table6[Client Program],0)), VLOOKUP(HAF[[#This Row],[Client Program Name]],Table6[], 9, FALSE), 0 )</f>
        <v>0</v>
      </c>
      <c r="N128" s="16">
        <f>IF(ISNUMBER(MATCH(HAF[[#This Row],[Client Program Name]],Table6[Client Program],0)), VLOOKUP(HAF[[#This Row],[Client Program Name]],Table6[], 10, FALSE), VLOOKUP(HAF[[#This Row],[Client Program Name]],Table2[], 8, FALSE) )</f>
        <v>112</v>
      </c>
      <c r="O128" s="16">
        <v>175</v>
      </c>
      <c r="P128" s="3"/>
      <c r="Q128" s="14"/>
    </row>
    <row r="129" spans="1:17" x14ac:dyDescent="0.35">
      <c r="A129" s="14" t="s">
        <v>249</v>
      </c>
      <c r="B129" s="14" t="str">
        <f>IF(HAF[[#This Row],[Program]]="Housing Accelerator Fund", "Round One", "Round Two")</f>
        <v>Round Two</v>
      </c>
      <c r="C129" s="14" t="s">
        <v>278</v>
      </c>
      <c r="D129" s="14" t="s">
        <v>127</v>
      </c>
      <c r="E129" s="14" t="s">
        <v>17</v>
      </c>
      <c r="F129" s="14" t="s">
        <v>11</v>
      </c>
      <c r="G129" s="15">
        <v>45636</v>
      </c>
      <c r="H129" s="15" t="str">
        <f>MID(HAF[[#This Row],[Client Program Name]], SEARCH( "-",HAF[[#This Row],[Client Program Name]])+1,LEN(HAF[[#This Row],[Client Program Name]])-(SEARCH( "-",HAF[[#This Row],[Client Program Name]])-1))</f>
        <v xml:space="preserve"> Town of Amherst</v>
      </c>
      <c r="I129" s="16">
        <v>2264150</v>
      </c>
      <c r="J129" s="16">
        <f>IF(ISNUMBER(MATCH(HAF[[#This Row],[Client Program Name]],Table6[Client Program],0)), VLOOKUP(HAF[[#This Row],[Client Program Name]],Table6[], 6, FALSE), 0 )</f>
        <v>0</v>
      </c>
      <c r="K129" s="16">
        <f>IF(ISNUMBER(MATCH(HAF[[#This Row],[Client Program Name]],Table6[Client Program],0)), VLOOKUP(HAF[[#This Row],[Client Program Name]],Table6[], 7, FALSE), VLOOKUP(HAF[[#This Row],[Client Program Name]],Table2[], 7, FALSE) )</f>
        <v>110</v>
      </c>
      <c r="L129" s="16">
        <v>67</v>
      </c>
      <c r="M129" s="16">
        <f>IF(ISNUMBER(MATCH(HAF[[#This Row],[Client Program Name]],Table6[Client Program],0)), VLOOKUP(HAF[[#This Row],[Client Program Name]],Table6[], 9, FALSE), 0 )</f>
        <v>0</v>
      </c>
      <c r="N129" s="16">
        <f>IF(ISNUMBER(MATCH(HAF[[#This Row],[Client Program Name]],Table6[Client Program],0)), VLOOKUP(HAF[[#This Row],[Client Program Name]],Table6[], 10, FALSE), VLOOKUP(HAF[[#This Row],[Client Program Name]],Table2[], 8, FALSE) )</f>
        <v>177</v>
      </c>
      <c r="O129" s="16">
        <v>300</v>
      </c>
      <c r="P129" s="3"/>
      <c r="Q129" s="14"/>
    </row>
    <row r="130" spans="1:17" x14ac:dyDescent="0.35">
      <c r="A130" s="14" t="s">
        <v>249</v>
      </c>
      <c r="B130" s="14" t="str">
        <f>IF(HAF[[#This Row],[Program]]="Housing Accelerator Fund", "Round One", "Round Two")</f>
        <v>Round Two</v>
      </c>
      <c r="C130" s="14" t="s">
        <v>279</v>
      </c>
      <c r="D130" s="14" t="s">
        <v>127</v>
      </c>
      <c r="E130" s="14" t="s">
        <v>17</v>
      </c>
      <c r="F130" s="14" t="s">
        <v>11</v>
      </c>
      <c r="G130" s="15">
        <v>45670</v>
      </c>
      <c r="H130" s="15" t="str">
        <f>MID(HAF[[#This Row],[Client Program Name]], SEARCH( "-",HAF[[#This Row],[Client Program Name]])+1,LEN(HAF[[#This Row],[Client Program Name]])-(SEARCH( "-",HAF[[#This Row],[Client Program Name]])-1))</f>
        <v xml:space="preserve"> Town of Digby</v>
      </c>
      <c r="I130" s="16">
        <v>760952.5</v>
      </c>
      <c r="J130" s="16">
        <f>IF(ISNUMBER(MATCH(HAF[[#This Row],[Client Program Name]],Table6[Client Program],0)), VLOOKUP(HAF[[#This Row],[Client Program Name]],Table6[], 6, FALSE), 0 )</f>
        <v>0</v>
      </c>
      <c r="K130" s="16">
        <f>IF(ISNUMBER(MATCH(HAF[[#This Row],[Client Program Name]],Table6[Client Program],0)), VLOOKUP(HAF[[#This Row],[Client Program Name]],Table6[], 7, FALSE), VLOOKUP(HAF[[#This Row],[Client Program Name]],Table2[], 7, FALSE) )</f>
        <v>33</v>
      </c>
      <c r="L130" s="16">
        <v>22</v>
      </c>
      <c r="M130" s="16">
        <f>IF(ISNUMBER(MATCH(HAF[[#This Row],[Client Program Name]],Table6[Client Program],0)), VLOOKUP(HAF[[#This Row],[Client Program Name]],Table6[], 9, FALSE), 0 )</f>
        <v>0</v>
      </c>
      <c r="N130" s="16">
        <f>IF(ISNUMBER(MATCH(HAF[[#This Row],[Client Program Name]],Table6[Client Program],0)), VLOOKUP(HAF[[#This Row],[Client Program Name]],Table6[], 10, FALSE), VLOOKUP(HAF[[#This Row],[Client Program Name]],Table2[], 8, FALSE) )</f>
        <v>55</v>
      </c>
      <c r="O130" s="16">
        <v>170</v>
      </c>
      <c r="P130" s="3"/>
      <c r="Q130" s="14"/>
    </row>
    <row r="131" spans="1:17" x14ac:dyDescent="0.35">
      <c r="A131" s="14" t="s">
        <v>249</v>
      </c>
      <c r="B131" s="14" t="str">
        <f>IF(HAF[[#This Row],[Program]]="Housing Accelerator Fund", "Round One", "Round Two")</f>
        <v>Round Two</v>
      </c>
      <c r="C131" s="14" t="s">
        <v>280</v>
      </c>
      <c r="D131" s="14" t="s">
        <v>127</v>
      </c>
      <c r="E131" s="14" t="s">
        <v>17</v>
      </c>
      <c r="F131" s="14" t="s">
        <v>11</v>
      </c>
      <c r="G131" s="15">
        <v>45678</v>
      </c>
      <c r="H131" s="15" t="str">
        <f>MID(HAF[[#This Row],[Client Program Name]], SEARCH( "-",HAF[[#This Row],[Client Program Name]])+1,LEN(HAF[[#This Row],[Client Program Name]])-(SEARCH( "-",HAF[[#This Row],[Client Program Name]])-1))</f>
        <v xml:space="preserve"> Town of Middleton</v>
      </c>
      <c r="I131" s="16">
        <v>993015.2</v>
      </c>
      <c r="J131" s="16">
        <f>IF(ISNUMBER(MATCH(HAF[[#This Row],[Client Program Name]],Table6[Client Program],0)), VLOOKUP(HAF[[#This Row],[Client Program Name]],Table6[], 6, FALSE), 0 )</f>
        <v>0</v>
      </c>
      <c r="K131" s="16">
        <f>IF(ISNUMBER(MATCH(HAF[[#This Row],[Client Program Name]],Table6[Client Program],0)), VLOOKUP(HAF[[#This Row],[Client Program Name]],Table6[], 7, FALSE), VLOOKUP(HAF[[#This Row],[Client Program Name]],Table2[], 7, FALSE) )</f>
        <v>14</v>
      </c>
      <c r="L131" s="16">
        <v>30</v>
      </c>
      <c r="M131" s="16">
        <f>IF(ISNUMBER(MATCH(HAF[[#This Row],[Client Program Name]],Table6[Client Program],0)), VLOOKUP(HAF[[#This Row],[Client Program Name]],Table6[], 9, FALSE), 0 )</f>
        <v>0</v>
      </c>
      <c r="N131" s="16">
        <f>IF(ISNUMBER(MATCH(HAF[[#This Row],[Client Program Name]],Table6[Client Program],0)), VLOOKUP(HAF[[#This Row],[Client Program Name]],Table6[], 10, FALSE), VLOOKUP(HAF[[#This Row],[Client Program Name]],Table2[], 8, FALSE) )</f>
        <v>44</v>
      </c>
      <c r="O131" s="16">
        <v>145</v>
      </c>
      <c r="P131" s="3"/>
      <c r="Q131" s="14"/>
    </row>
    <row r="132" spans="1:17" x14ac:dyDescent="0.35">
      <c r="A132" s="14" t="s">
        <v>249</v>
      </c>
      <c r="B132" s="14" t="str">
        <f>IF(HAF[[#This Row],[Program]]="Housing Accelerator Fund", "Round One", "Round Two")</f>
        <v>Round Two</v>
      </c>
      <c r="C132" s="14" t="s">
        <v>281</v>
      </c>
      <c r="D132" s="14" t="s">
        <v>127</v>
      </c>
      <c r="E132" s="14" t="s">
        <v>17</v>
      </c>
      <c r="F132" s="14" t="s">
        <v>11</v>
      </c>
      <c r="G132" s="15">
        <v>45679</v>
      </c>
      <c r="H132" s="15" t="str">
        <f>MID(HAF[[#This Row],[Client Program Name]], SEARCH( "-",HAF[[#This Row],[Client Program Name]])+1,LEN(HAF[[#This Row],[Client Program Name]])-(SEARCH( "-",HAF[[#This Row],[Client Program Name]])-1))</f>
        <v xml:space="preserve"> Town of Yarmouth</v>
      </c>
      <c r="I132" s="16">
        <v>2323150</v>
      </c>
      <c r="J132" s="16">
        <f>IF(ISNUMBER(MATCH(HAF[[#This Row],[Client Program Name]],Table6[Client Program],0)), VLOOKUP(HAF[[#This Row],[Client Program Name]],Table6[], 6, FALSE), 0 )</f>
        <v>0</v>
      </c>
      <c r="K132" s="16">
        <f>IF(ISNUMBER(MATCH(HAF[[#This Row],[Client Program Name]],Table6[Client Program],0)), VLOOKUP(HAF[[#This Row],[Client Program Name]],Table6[], 7, FALSE), VLOOKUP(HAF[[#This Row],[Client Program Name]],Table2[], 7, FALSE) )</f>
        <v>54</v>
      </c>
      <c r="L132" s="16">
        <v>65</v>
      </c>
      <c r="M132" s="16">
        <f>IF(ISNUMBER(MATCH(HAF[[#This Row],[Client Program Name]],Table6[Client Program],0)), VLOOKUP(HAF[[#This Row],[Client Program Name]],Table6[], 9, FALSE), 0 )</f>
        <v>0</v>
      </c>
      <c r="N132" s="16">
        <f>IF(ISNUMBER(MATCH(HAF[[#This Row],[Client Program Name]],Table6[Client Program],0)), VLOOKUP(HAF[[#This Row],[Client Program Name]],Table6[], 10, FALSE), VLOOKUP(HAF[[#This Row],[Client Program Name]],Table2[], 8, FALSE) )</f>
        <v>119</v>
      </c>
      <c r="O132" s="16">
        <v>183</v>
      </c>
      <c r="P132" s="3"/>
      <c r="Q132" s="14"/>
    </row>
    <row r="133" spans="1:17" x14ac:dyDescent="0.35">
      <c r="A133" s="14" t="s">
        <v>249</v>
      </c>
      <c r="B133" s="14" t="str">
        <f>IF(HAF[[#This Row],[Program]]="Housing Accelerator Fund", "Round One", "Round Two")</f>
        <v>Round Two</v>
      </c>
      <c r="C133" s="14" t="s">
        <v>282</v>
      </c>
      <c r="D133" s="14" t="s">
        <v>127</v>
      </c>
      <c r="E133" s="14" t="s">
        <v>17</v>
      </c>
      <c r="F133" s="14" t="s">
        <v>11</v>
      </c>
      <c r="G133" s="15">
        <v>45646</v>
      </c>
      <c r="H133" s="15" t="str">
        <f>MID(HAF[[#This Row],[Client Program Name]], SEARCH( "-",HAF[[#This Row],[Client Program Name]])+1,LEN(HAF[[#This Row],[Client Program Name]])-(SEARCH( "-",HAF[[#This Row],[Client Program Name]])-1))</f>
        <v xml:space="preserve"> Municipality of the District of St. Mary's</v>
      </c>
      <c r="I133" s="16">
        <v>775560.1</v>
      </c>
      <c r="J133" s="16">
        <f>IF(ISNUMBER(MATCH(HAF[[#This Row],[Client Program Name]],Table6[Client Program],0)), VLOOKUP(HAF[[#This Row],[Client Program Name]],Table6[], 6, FALSE), 0 )</f>
        <v>0</v>
      </c>
      <c r="K133" s="16">
        <f>IF(ISNUMBER(MATCH(HAF[[#This Row],[Client Program Name]],Table6[Client Program],0)), VLOOKUP(HAF[[#This Row],[Client Program Name]],Table6[], 7, FALSE), VLOOKUP(HAF[[#This Row],[Client Program Name]],Table2[], 7, FALSE) )</f>
        <v>43</v>
      </c>
      <c r="L133" s="16">
        <v>20</v>
      </c>
      <c r="M133" s="16">
        <f>IF(ISNUMBER(MATCH(HAF[[#This Row],[Client Program Name]],Table6[Client Program],0)), VLOOKUP(HAF[[#This Row],[Client Program Name]],Table6[], 9, FALSE), 0 )</f>
        <v>0</v>
      </c>
      <c r="N133" s="16">
        <f>IF(ISNUMBER(MATCH(HAF[[#This Row],[Client Program Name]],Table6[Client Program],0)), VLOOKUP(HAF[[#This Row],[Client Program Name]],Table6[], 10, FALSE), VLOOKUP(HAF[[#This Row],[Client Program Name]],Table2[], 8, FALSE) )</f>
        <v>63</v>
      </c>
      <c r="O133" s="16">
        <v>98</v>
      </c>
      <c r="P133" s="3"/>
      <c r="Q133" s="14"/>
    </row>
    <row r="134" spans="1:17" x14ac:dyDescent="0.35">
      <c r="A134" s="14" t="s">
        <v>248</v>
      </c>
      <c r="B134" s="14" t="str">
        <f>IF(HAF[[#This Row],[Program]]="Housing Accelerator Fund", "Round One", "Round Two")</f>
        <v>Round One</v>
      </c>
      <c r="C134" s="14" t="s">
        <v>160</v>
      </c>
      <c r="D134" s="14" t="s">
        <v>146</v>
      </c>
      <c r="E134" s="14" t="s">
        <v>17</v>
      </c>
      <c r="F134" s="14" t="s">
        <v>11</v>
      </c>
      <c r="G134" s="15">
        <v>45322</v>
      </c>
      <c r="H134" s="15" t="str">
        <f>MID(HAF[[#This Row],[Client Program Name]], SEARCH( "-",HAF[[#This Row],[Client Program Name]])+1,LEN(HAF[[#This Row],[Client Program Name]])-(SEARCH( "-",HAF[[#This Row],[Client Program Name]])-1))</f>
        <v xml:space="preserve"> Municipality of Kugluktuk</v>
      </c>
      <c r="I134" s="16">
        <v>799377.6</v>
      </c>
      <c r="J134" s="16">
        <f>IF(ISNUMBER(MATCH(HAF[[#This Row],[Client Program Name]],Table6[Client Program],0)), VLOOKUP(HAF[[#This Row],[Client Program Name]],Table6[], 6, FALSE), 0 )</f>
        <v>799378</v>
      </c>
      <c r="K134" s="16">
        <f>IF(ISNUMBER(MATCH(HAF[[#This Row],[Client Program Name]],Table6[Client Program],0)), VLOOKUP(HAF[[#This Row],[Client Program Name]],Table6[], 7, FALSE), VLOOKUP(HAF[[#This Row],[Client Program Name]],Table2[], 7, FALSE) )</f>
        <v>12</v>
      </c>
      <c r="L134" s="16">
        <v>12</v>
      </c>
      <c r="M134" s="16">
        <f>IF(ISNUMBER(MATCH(HAF[[#This Row],[Client Program Name]],Table6[Client Program],0)), VLOOKUP(HAF[[#This Row],[Client Program Name]],Table6[], 9, FALSE), 0 )</f>
        <v>12</v>
      </c>
      <c r="N134" s="16">
        <f>IF(ISNUMBER(MATCH(HAF[[#This Row],[Client Program Name]],Table6[Client Program],0)), VLOOKUP(HAF[[#This Row],[Client Program Name]],Table6[], 10, FALSE), VLOOKUP(HAF[[#This Row],[Client Program Name]],Table2[], 8, FALSE) )</f>
        <v>24</v>
      </c>
      <c r="O134" s="16">
        <v>71</v>
      </c>
      <c r="P134" s="3"/>
      <c r="Q134" s="14"/>
    </row>
    <row r="135" spans="1:17" x14ac:dyDescent="0.35">
      <c r="A135" s="14" t="s">
        <v>248</v>
      </c>
      <c r="B135" s="14" t="str">
        <f>IF(HAF[[#This Row],[Program]]="Housing Accelerator Fund", "Round One", "Round Two")</f>
        <v>Round One</v>
      </c>
      <c r="C135" s="14" t="s">
        <v>166</v>
      </c>
      <c r="D135" s="14" t="s">
        <v>146</v>
      </c>
      <c r="E135" s="14" t="s">
        <v>17</v>
      </c>
      <c r="F135" s="14" t="s">
        <v>11</v>
      </c>
      <c r="G135" s="15">
        <v>45323</v>
      </c>
      <c r="H135" s="15" t="str">
        <f>MID(HAF[[#This Row],[Client Program Name]], SEARCH( "-",HAF[[#This Row],[Client Program Name]])+1,LEN(HAF[[#This Row],[Client Program Name]])-(SEARCH( "-",HAF[[#This Row],[Client Program Name]])-1))</f>
        <v xml:space="preserve"> Municipality of Sanikiluaq</v>
      </c>
      <c r="I135" s="16">
        <v>770990.5</v>
      </c>
      <c r="J135" s="16">
        <f>IF(ISNUMBER(MATCH(HAF[[#This Row],[Client Program Name]],Table6[Client Program],0)), VLOOKUP(HAF[[#This Row],[Client Program Name]],Table6[], 6, FALSE), 0 )</f>
        <v>770991</v>
      </c>
      <c r="K135" s="16">
        <f>IF(ISNUMBER(MATCH(HAF[[#This Row],[Client Program Name]],Table6[Client Program],0)), VLOOKUP(HAF[[#This Row],[Client Program Name]],Table6[], 7, FALSE), VLOOKUP(HAF[[#This Row],[Client Program Name]],Table2[], 7, FALSE) )</f>
        <v>2</v>
      </c>
      <c r="L135" s="16">
        <v>13</v>
      </c>
      <c r="M135" s="16">
        <f>IF(ISNUMBER(MATCH(HAF[[#This Row],[Client Program Name]],Table6[Client Program],0)), VLOOKUP(HAF[[#This Row],[Client Program Name]],Table6[], 9, FALSE), 0 )</f>
        <v>13</v>
      </c>
      <c r="N135" s="16">
        <f>IF(ISNUMBER(MATCH(HAF[[#This Row],[Client Program Name]],Table6[Client Program],0)), VLOOKUP(HAF[[#This Row],[Client Program Name]],Table6[], 10, FALSE), VLOOKUP(HAF[[#This Row],[Client Program Name]],Table2[], 8, FALSE) )</f>
        <v>15</v>
      </c>
      <c r="O135" s="16">
        <v>30</v>
      </c>
      <c r="P135" s="3"/>
      <c r="Q135" s="14"/>
    </row>
    <row r="136" spans="1:17" x14ac:dyDescent="0.35">
      <c r="A136" s="14" t="s">
        <v>248</v>
      </c>
      <c r="B136" s="14" t="str">
        <f>IF(HAF[[#This Row],[Program]]="Housing Accelerator Fund", "Round One", "Round Two")</f>
        <v>Round One</v>
      </c>
      <c r="C136" s="14" t="s">
        <v>163</v>
      </c>
      <c r="D136" s="14" t="s">
        <v>146</v>
      </c>
      <c r="E136" s="14" t="s">
        <v>17</v>
      </c>
      <c r="F136" s="14" t="s">
        <v>11</v>
      </c>
      <c r="G136" s="15">
        <v>45300</v>
      </c>
      <c r="H136" s="15" t="str">
        <f>MID(HAF[[#This Row],[Client Program Name]], SEARCH( "-",HAF[[#This Row],[Client Program Name]])+1,LEN(HAF[[#This Row],[Client Program Name]])-(SEARCH( "-",HAF[[#This Row],[Client Program Name]])-1))</f>
        <v xml:space="preserve"> Municipality of Qikiqtarjuaq</v>
      </c>
      <c r="I136" s="16">
        <v>542659.69999999995</v>
      </c>
      <c r="J136" s="16">
        <f>IF(ISNUMBER(MATCH(HAF[[#This Row],[Client Program Name]],Table6[Client Program],0)), VLOOKUP(HAF[[#This Row],[Client Program Name]],Table6[], 6, FALSE), 0 )</f>
        <v>542660</v>
      </c>
      <c r="K136" s="16">
        <f>IF(ISNUMBER(MATCH(HAF[[#This Row],[Client Program Name]],Table6[Client Program],0)), VLOOKUP(HAF[[#This Row],[Client Program Name]],Table6[], 7, FALSE), VLOOKUP(HAF[[#This Row],[Client Program Name]],Table2[], 7, FALSE) )</f>
        <v>1</v>
      </c>
      <c r="L136" s="16">
        <v>8</v>
      </c>
      <c r="M136" s="16">
        <f>IF(ISNUMBER(MATCH(HAF[[#This Row],[Client Program Name]],Table6[Client Program],0)), VLOOKUP(HAF[[#This Row],[Client Program Name]],Table6[], 9, FALSE), 0 )</f>
        <v>8</v>
      </c>
      <c r="N136" s="16">
        <f>IF(ISNUMBER(MATCH(HAF[[#This Row],[Client Program Name]],Table6[Client Program],0)), VLOOKUP(HAF[[#This Row],[Client Program Name]],Table6[], 10, FALSE), VLOOKUP(HAF[[#This Row],[Client Program Name]],Table2[], 8, FALSE) )</f>
        <v>9</v>
      </c>
      <c r="O136" s="16">
        <v>28</v>
      </c>
      <c r="P136" s="3"/>
      <c r="Q136" s="14"/>
    </row>
    <row r="137" spans="1:17" x14ac:dyDescent="0.35">
      <c r="A137" s="14" t="s">
        <v>248</v>
      </c>
      <c r="B137" s="14" t="str">
        <f>IF(HAF[[#This Row],[Program]]="Housing Accelerator Fund", "Round One", "Round Two")</f>
        <v>Round One</v>
      </c>
      <c r="C137" s="14" t="s">
        <v>155</v>
      </c>
      <c r="D137" s="14" t="s">
        <v>146</v>
      </c>
      <c r="E137" s="14" t="s">
        <v>17</v>
      </c>
      <c r="F137" s="14" t="s">
        <v>11</v>
      </c>
      <c r="G137" s="15">
        <v>45302</v>
      </c>
      <c r="H137" s="15" t="str">
        <f>MID(HAF[[#This Row],[Client Program Name]], SEARCH( "-",HAF[[#This Row],[Client Program Name]])+1,LEN(HAF[[#This Row],[Client Program Name]])-(SEARCH( "-",HAF[[#This Row],[Client Program Name]])-1))</f>
        <v xml:space="preserve"> Municipality of Grise Fiord</v>
      </c>
      <c r="I137" s="16">
        <v>459000</v>
      </c>
      <c r="J137" s="16">
        <f>IF(ISNUMBER(MATCH(HAF[[#This Row],[Client Program Name]],Table6[Client Program],0)), VLOOKUP(HAF[[#This Row],[Client Program Name]],Table6[], 6, FALSE), 0 )</f>
        <v>459000</v>
      </c>
      <c r="K137" s="16">
        <f>IF(ISNUMBER(MATCH(HAF[[#This Row],[Client Program Name]],Table6[Client Program],0)), VLOOKUP(HAF[[#This Row],[Client Program Name]],Table6[], 7, FALSE), VLOOKUP(HAF[[#This Row],[Client Program Name]],Table2[], 7, FALSE) )</f>
        <v>1</v>
      </c>
      <c r="L137" s="16">
        <v>7</v>
      </c>
      <c r="M137" s="16">
        <f>IF(ISNUMBER(MATCH(HAF[[#This Row],[Client Program Name]],Table6[Client Program],0)), VLOOKUP(HAF[[#This Row],[Client Program Name]],Table6[], 9, FALSE), 0 )</f>
        <v>7</v>
      </c>
      <c r="N137" s="16">
        <f>IF(ISNUMBER(MATCH(HAF[[#This Row],[Client Program Name]],Table6[Client Program],0)), VLOOKUP(HAF[[#This Row],[Client Program Name]],Table6[], 10, FALSE), VLOOKUP(HAF[[#This Row],[Client Program Name]],Table2[], 8, FALSE) )</f>
        <v>8</v>
      </c>
      <c r="O137" s="16">
        <v>11</v>
      </c>
      <c r="P137" s="3"/>
      <c r="Q137" s="14"/>
    </row>
    <row r="138" spans="1:17" x14ac:dyDescent="0.35">
      <c r="A138" s="14" t="s">
        <v>248</v>
      </c>
      <c r="B138" s="14" t="str">
        <f>IF(HAF[[#This Row],[Program]]="Housing Accelerator Fund", "Round One", "Round Two")</f>
        <v>Round One</v>
      </c>
      <c r="C138" s="14" t="s">
        <v>161</v>
      </c>
      <c r="D138" s="14" t="s">
        <v>146</v>
      </c>
      <c r="E138" s="14" t="s">
        <v>17</v>
      </c>
      <c r="F138" s="14" t="s">
        <v>11</v>
      </c>
      <c r="G138" s="15">
        <v>45322</v>
      </c>
      <c r="H138" s="15" t="str">
        <f>MID(HAF[[#This Row],[Client Program Name]], SEARCH( "-",HAF[[#This Row],[Client Program Name]])+1,LEN(HAF[[#This Row],[Client Program Name]])-(SEARCH( "-",HAF[[#This Row],[Client Program Name]])-1))</f>
        <v xml:space="preserve"> Municipality of Pangnirtung</v>
      </c>
      <c r="I138" s="16">
        <v>591234</v>
      </c>
      <c r="J138" s="16">
        <f>IF(ISNUMBER(MATCH(HAF[[#This Row],[Client Program Name]],Table6[Client Program],0)), VLOOKUP(HAF[[#This Row],[Client Program Name]],Table6[], 6, FALSE), 0 )</f>
        <v>591234</v>
      </c>
      <c r="K138" s="16">
        <f>IF(ISNUMBER(MATCH(HAF[[#This Row],[Client Program Name]],Table6[Client Program],0)), VLOOKUP(HAF[[#This Row],[Client Program Name]],Table6[], 7, FALSE), VLOOKUP(HAF[[#This Row],[Client Program Name]],Table2[], 7, FALSE) )</f>
        <v>3</v>
      </c>
      <c r="L138" s="16">
        <v>9</v>
      </c>
      <c r="M138" s="16">
        <f>IF(ISNUMBER(MATCH(HAF[[#This Row],[Client Program Name]],Table6[Client Program],0)), VLOOKUP(HAF[[#This Row],[Client Program Name]],Table6[], 9, FALSE), 0 )</f>
        <v>9</v>
      </c>
      <c r="N138" s="16">
        <f>IF(ISNUMBER(MATCH(HAF[[#This Row],[Client Program Name]],Table6[Client Program],0)), VLOOKUP(HAF[[#This Row],[Client Program Name]],Table6[], 10, FALSE), VLOOKUP(HAF[[#This Row],[Client Program Name]],Table2[], 8, FALSE) )</f>
        <v>12</v>
      </c>
      <c r="O138" s="16">
        <v>85</v>
      </c>
      <c r="P138" s="3"/>
      <c r="Q138" s="14"/>
    </row>
    <row r="139" spans="1:17" x14ac:dyDescent="0.35">
      <c r="A139" s="14" t="s">
        <v>248</v>
      </c>
      <c r="B139" s="14" t="str">
        <f>IF(HAF[[#This Row],[Program]]="Housing Accelerator Fund", "Round One", "Round Two")</f>
        <v>Round One</v>
      </c>
      <c r="C139" s="14" t="s">
        <v>168</v>
      </c>
      <c r="D139" s="14" t="s">
        <v>146</v>
      </c>
      <c r="E139" s="14" t="s">
        <v>17</v>
      </c>
      <c r="F139" s="14" t="s">
        <v>11</v>
      </c>
      <c r="G139" s="15">
        <v>45309</v>
      </c>
      <c r="H139" s="15" t="str">
        <f>MID(HAF[[#This Row],[Client Program Name]], SEARCH( "-",HAF[[#This Row],[Client Program Name]])+1,LEN(HAF[[#This Row],[Client Program Name]])-(SEARCH( "-",HAF[[#This Row],[Client Program Name]])-1))</f>
        <v xml:space="preserve"> Municipality of Whale Cove</v>
      </c>
      <c r="I139" s="16">
        <v>948863.6</v>
      </c>
      <c r="J139" s="16">
        <f>IF(ISNUMBER(MATCH(HAF[[#This Row],[Client Program Name]],Table6[Client Program],0)), VLOOKUP(HAF[[#This Row],[Client Program Name]],Table6[], 6, FALSE), 0 )</f>
        <v>948864</v>
      </c>
      <c r="K139" s="16">
        <f>IF(ISNUMBER(MATCH(HAF[[#This Row],[Client Program Name]],Table6[Client Program],0)), VLOOKUP(HAF[[#This Row],[Client Program Name]],Table6[], 7, FALSE), VLOOKUP(HAF[[#This Row],[Client Program Name]],Table2[], 7, FALSE) )</f>
        <v>4</v>
      </c>
      <c r="L139" s="16">
        <v>14</v>
      </c>
      <c r="M139" s="16">
        <f>IF(ISNUMBER(MATCH(HAF[[#This Row],[Client Program Name]],Table6[Client Program],0)), VLOOKUP(HAF[[#This Row],[Client Program Name]],Table6[], 9, FALSE), 0 )</f>
        <v>14</v>
      </c>
      <c r="N139" s="16">
        <f>IF(ISNUMBER(MATCH(HAF[[#This Row],[Client Program Name]],Table6[Client Program],0)), VLOOKUP(HAF[[#This Row],[Client Program Name]],Table6[], 10, FALSE), VLOOKUP(HAF[[#This Row],[Client Program Name]],Table2[], 8, FALSE) )</f>
        <v>18</v>
      </c>
      <c r="O139" s="16">
        <v>36</v>
      </c>
      <c r="P139" s="3"/>
      <c r="Q139" s="14"/>
    </row>
    <row r="140" spans="1:17" x14ac:dyDescent="0.35">
      <c r="A140" s="14" t="s">
        <v>248</v>
      </c>
      <c r="B140" s="14" t="str">
        <f>IF(HAF[[#This Row],[Program]]="Housing Accelerator Fund", "Round One", "Round Two")</f>
        <v>Round One</v>
      </c>
      <c r="C140" s="14" t="s">
        <v>158</v>
      </c>
      <c r="D140" s="14" t="s">
        <v>146</v>
      </c>
      <c r="E140" s="14" t="s">
        <v>17</v>
      </c>
      <c r="F140" s="14" t="s">
        <v>11</v>
      </c>
      <c r="G140" s="15">
        <v>45322</v>
      </c>
      <c r="H140" s="15" t="str">
        <f>MID(HAF[[#This Row],[Client Program Name]], SEARCH( "-",HAF[[#This Row],[Client Program Name]])+1,LEN(HAF[[#This Row],[Client Program Name]])-(SEARCH( "-",HAF[[#This Row],[Client Program Name]])-1))</f>
        <v xml:space="preserve"> Municipality of Kinngait</v>
      </c>
      <c r="I140" s="16">
        <v>540710.30000000005</v>
      </c>
      <c r="J140" s="16">
        <f>IF(ISNUMBER(MATCH(HAF[[#This Row],[Client Program Name]],Table6[Client Program],0)), VLOOKUP(HAF[[#This Row],[Client Program Name]],Table6[], 6, FALSE), 0 )</f>
        <v>540710</v>
      </c>
      <c r="K140" s="16">
        <f>IF(ISNUMBER(MATCH(HAF[[#This Row],[Client Program Name]],Table6[Client Program],0)), VLOOKUP(HAF[[#This Row],[Client Program Name]],Table6[], 7, FALSE), VLOOKUP(HAF[[#This Row],[Client Program Name]],Table2[], 7, FALSE) )</f>
        <v>1</v>
      </c>
      <c r="L140" s="16">
        <v>8</v>
      </c>
      <c r="M140" s="16">
        <f>IF(ISNUMBER(MATCH(HAF[[#This Row],[Client Program Name]],Table6[Client Program],0)), VLOOKUP(HAF[[#This Row],[Client Program Name]],Table6[], 9, FALSE), 0 )</f>
        <v>8</v>
      </c>
      <c r="N140" s="16">
        <f>IF(ISNUMBER(MATCH(HAF[[#This Row],[Client Program Name]],Table6[Client Program],0)), VLOOKUP(HAF[[#This Row],[Client Program Name]],Table6[], 10, FALSE), VLOOKUP(HAF[[#This Row],[Client Program Name]],Table2[], 8, FALSE) )</f>
        <v>9</v>
      </c>
      <c r="O140" s="16">
        <v>85</v>
      </c>
      <c r="P140" s="3"/>
      <c r="Q140" s="14"/>
    </row>
    <row r="141" spans="1:17" x14ac:dyDescent="0.35">
      <c r="A141" s="14" t="s">
        <v>248</v>
      </c>
      <c r="B141" s="14" t="str">
        <f>IF(HAF[[#This Row],[Program]]="Housing Accelerator Fund", "Round One", "Round Two")</f>
        <v>Round One</v>
      </c>
      <c r="C141" s="14" t="s">
        <v>148</v>
      </c>
      <c r="D141" s="14" t="s">
        <v>146</v>
      </c>
      <c r="E141" s="14" t="s">
        <v>17</v>
      </c>
      <c r="F141" s="14" t="s">
        <v>11</v>
      </c>
      <c r="G141" s="15">
        <v>45280</v>
      </c>
      <c r="H141" s="15" t="str">
        <f>MID(HAF[[#This Row],[Client Program Name]], SEARCH( "-",HAF[[#This Row],[Client Program Name]])+1,LEN(HAF[[#This Row],[Client Program Name]])-(SEARCH( "-",HAF[[#This Row],[Client Program Name]])-1))</f>
        <v xml:space="preserve"> Municipality of Arviat</v>
      </c>
      <c r="I141" s="16">
        <v>1514604.8</v>
      </c>
      <c r="J141" s="16">
        <f>IF(ISNUMBER(MATCH(HAF[[#This Row],[Client Program Name]],Table6[Client Program],0)), VLOOKUP(HAF[[#This Row],[Client Program Name]],Table6[], 6, FALSE), 0 )</f>
        <v>1514605</v>
      </c>
      <c r="K141" s="16">
        <f>IF(ISNUMBER(MATCH(HAF[[#This Row],[Client Program Name]],Table6[Client Program],0)), VLOOKUP(HAF[[#This Row],[Client Program Name]],Table6[], 7, FALSE), VLOOKUP(HAF[[#This Row],[Client Program Name]],Table2[], 7, FALSE) )</f>
        <v>32</v>
      </c>
      <c r="L141" s="16">
        <v>32</v>
      </c>
      <c r="M141" s="16">
        <f>IF(ISNUMBER(MATCH(HAF[[#This Row],[Client Program Name]],Table6[Client Program],0)), VLOOKUP(HAF[[#This Row],[Client Program Name]],Table6[], 9, FALSE), 0 )</f>
        <v>32</v>
      </c>
      <c r="N141" s="16">
        <f>IF(ISNUMBER(MATCH(HAF[[#This Row],[Client Program Name]],Table6[Client Program],0)), VLOOKUP(HAF[[#This Row],[Client Program Name]],Table6[], 10, FALSE), VLOOKUP(HAF[[#This Row],[Client Program Name]],Table2[], 8, FALSE) )</f>
        <v>64</v>
      </c>
      <c r="O141" s="16">
        <v>135</v>
      </c>
      <c r="P141" s="3"/>
      <c r="Q141" s="14"/>
    </row>
    <row r="142" spans="1:17" x14ac:dyDescent="0.35">
      <c r="A142" s="14" t="s">
        <v>248</v>
      </c>
      <c r="B142" s="14" t="str">
        <f>IF(HAF[[#This Row],[Program]]="Housing Accelerator Fund", "Round One", "Round Two")</f>
        <v>Round One</v>
      </c>
      <c r="C142" s="14" t="s">
        <v>150</v>
      </c>
      <c r="D142" s="14" t="s">
        <v>146</v>
      </c>
      <c r="E142" s="14" t="s">
        <v>17</v>
      </c>
      <c r="F142" s="14" t="s">
        <v>11</v>
      </c>
      <c r="G142" s="15">
        <v>45281</v>
      </c>
      <c r="H142" s="15" t="str">
        <f>MID(HAF[[#This Row],[Client Program Name]], SEARCH( "-",HAF[[#This Row],[Client Program Name]])+1,LEN(HAF[[#This Row],[Client Program Name]])-(SEARCH( "-",HAF[[#This Row],[Client Program Name]])-1))</f>
        <v xml:space="preserve"> Municipality of Cambridge Bay</v>
      </c>
      <c r="I142" s="16">
        <v>1359900.8</v>
      </c>
      <c r="J142" s="16">
        <f>IF(ISNUMBER(MATCH(HAF[[#This Row],[Client Program Name]],Table6[Client Program],0)), VLOOKUP(HAF[[#This Row],[Client Program Name]],Table6[], 6, FALSE), 0 )</f>
        <v>1359901</v>
      </c>
      <c r="K142" s="16">
        <f>IF(ISNUMBER(MATCH(HAF[[#This Row],[Client Program Name]],Table6[Client Program],0)), VLOOKUP(HAF[[#This Row],[Client Program Name]],Table6[], 7, FALSE), VLOOKUP(HAF[[#This Row],[Client Program Name]],Table2[], 7, FALSE) )</f>
        <v>26</v>
      </c>
      <c r="L142" s="16">
        <v>26</v>
      </c>
      <c r="M142" s="16">
        <f>IF(ISNUMBER(MATCH(HAF[[#This Row],[Client Program Name]],Table6[Client Program],0)), VLOOKUP(HAF[[#This Row],[Client Program Name]],Table6[], 9, FALSE), 0 )</f>
        <v>26</v>
      </c>
      <c r="N142" s="16">
        <f>IF(ISNUMBER(MATCH(HAF[[#This Row],[Client Program Name]],Table6[Client Program],0)), VLOOKUP(HAF[[#This Row],[Client Program Name]],Table6[], 10, FALSE), VLOOKUP(HAF[[#This Row],[Client Program Name]],Table2[], 8, FALSE) )</f>
        <v>52</v>
      </c>
      <c r="O142" s="16">
        <v>188</v>
      </c>
      <c r="P142" s="3"/>
      <c r="Q142" s="14"/>
    </row>
    <row r="143" spans="1:17" x14ac:dyDescent="0.35">
      <c r="A143" s="14" t="s">
        <v>248</v>
      </c>
      <c r="B143" s="14" t="str">
        <f>IF(HAF[[#This Row],[Program]]="Housing Accelerator Fund", "Round One", "Round Two")</f>
        <v>Round One</v>
      </c>
      <c r="C143" s="14" t="s">
        <v>152</v>
      </c>
      <c r="D143" s="14" t="s">
        <v>146</v>
      </c>
      <c r="E143" s="14" t="s">
        <v>17</v>
      </c>
      <c r="F143" s="14" t="s">
        <v>11</v>
      </c>
      <c r="G143" s="15">
        <v>45315</v>
      </c>
      <c r="H143" s="15" t="str">
        <f>MID(HAF[[#This Row],[Client Program Name]], SEARCH( "-",HAF[[#This Row],[Client Program Name]])+1,LEN(HAF[[#This Row],[Client Program Name]])-(SEARCH( "-",HAF[[#This Row],[Client Program Name]])-1))</f>
        <v xml:space="preserve"> Municipality of Clyde River</v>
      </c>
      <c r="I143" s="16">
        <v>462529.1</v>
      </c>
      <c r="J143" s="16">
        <f>IF(ISNUMBER(MATCH(HAF[[#This Row],[Client Program Name]],Table6[Client Program],0)), VLOOKUP(HAF[[#This Row],[Client Program Name]],Table6[], 6, FALSE), 0 )</f>
        <v>462529</v>
      </c>
      <c r="K143" s="16">
        <f>IF(ISNUMBER(MATCH(HAF[[#This Row],[Client Program Name]],Table6[Client Program],0)), VLOOKUP(HAF[[#This Row],[Client Program Name]],Table6[], 7, FALSE), VLOOKUP(HAF[[#This Row],[Client Program Name]],Table2[], 7, FALSE) )</f>
        <v>1</v>
      </c>
      <c r="L143" s="16">
        <v>8</v>
      </c>
      <c r="M143" s="16">
        <f>IF(ISNUMBER(MATCH(HAF[[#This Row],[Client Program Name]],Table6[Client Program],0)), VLOOKUP(HAF[[#This Row],[Client Program Name]],Table6[], 9, FALSE), 0 )</f>
        <v>8</v>
      </c>
      <c r="N143" s="16">
        <f>IF(ISNUMBER(MATCH(HAF[[#This Row],[Client Program Name]],Table6[Client Program],0)), VLOOKUP(HAF[[#This Row],[Client Program Name]],Table6[], 10, FALSE), VLOOKUP(HAF[[#This Row],[Client Program Name]],Table2[], 8, FALSE) )</f>
        <v>9</v>
      </c>
      <c r="O143" s="16">
        <v>90</v>
      </c>
      <c r="P143" s="3"/>
      <c r="Q143" s="14"/>
    </row>
    <row r="144" spans="1:17" x14ac:dyDescent="0.35">
      <c r="A144" s="14" t="s">
        <v>248</v>
      </c>
      <c r="B144" s="14" t="str">
        <f>IF(HAF[[#This Row],[Program]]="Housing Accelerator Fund", "Round One", "Round Two")</f>
        <v>Round One</v>
      </c>
      <c r="C144" s="14" t="s">
        <v>165</v>
      </c>
      <c r="D144" s="14" t="s">
        <v>146</v>
      </c>
      <c r="E144" s="14" t="s">
        <v>17</v>
      </c>
      <c r="F144" s="14" t="s">
        <v>11</v>
      </c>
      <c r="G144" s="15">
        <v>45315</v>
      </c>
      <c r="H144" s="15" t="str">
        <f>MID(HAF[[#This Row],[Client Program Name]], SEARCH( "-",HAF[[#This Row],[Client Program Name]])+1,LEN(HAF[[#This Row],[Client Program Name]])-(SEARCH( "-",HAF[[#This Row],[Client Program Name]])-1))</f>
        <v xml:space="preserve"> Municipality of Resolute Bay</v>
      </c>
      <c r="I144" s="16">
        <v>500456.9</v>
      </c>
      <c r="J144" s="16">
        <f>IF(ISNUMBER(MATCH(HAF[[#This Row],[Client Program Name]],Table6[Client Program],0)), VLOOKUP(HAF[[#This Row],[Client Program Name]],Table6[], 6, FALSE), 0 )</f>
        <v>500457</v>
      </c>
      <c r="K144" s="16">
        <f>IF(ISNUMBER(MATCH(HAF[[#This Row],[Client Program Name]],Table6[Client Program],0)), VLOOKUP(HAF[[#This Row],[Client Program Name]],Table6[], 7, FALSE), VLOOKUP(HAF[[#This Row],[Client Program Name]],Table2[], 7, FALSE) )</f>
        <v>1</v>
      </c>
      <c r="L144" s="16">
        <v>8</v>
      </c>
      <c r="M144" s="16">
        <f>IF(ISNUMBER(MATCH(HAF[[#This Row],[Client Program Name]],Table6[Client Program],0)), VLOOKUP(HAF[[#This Row],[Client Program Name]],Table6[], 9, FALSE), 0 )</f>
        <v>8</v>
      </c>
      <c r="N144" s="16">
        <f>IF(ISNUMBER(MATCH(HAF[[#This Row],[Client Program Name]],Table6[Client Program],0)), VLOOKUP(HAF[[#This Row],[Client Program Name]],Table6[], 10, FALSE), VLOOKUP(HAF[[#This Row],[Client Program Name]],Table2[], 8, FALSE) )</f>
        <v>9</v>
      </c>
      <c r="O144" s="16">
        <v>16</v>
      </c>
      <c r="P144" s="3"/>
      <c r="Q144" s="14"/>
    </row>
    <row r="145" spans="1:17" x14ac:dyDescent="0.35">
      <c r="A145" s="14" t="s">
        <v>248</v>
      </c>
      <c r="B145" s="14" t="str">
        <f>IF(HAF[[#This Row],[Program]]="Housing Accelerator Fund", "Round One", "Round Two")</f>
        <v>Round One</v>
      </c>
      <c r="C145" s="14" t="s">
        <v>167</v>
      </c>
      <c r="D145" s="14" t="s">
        <v>146</v>
      </c>
      <c r="E145" s="14" t="s">
        <v>17</v>
      </c>
      <c r="F145" s="14" t="s">
        <v>11</v>
      </c>
      <c r="G145" s="15">
        <v>45315</v>
      </c>
      <c r="H145" s="15" t="str">
        <f>MID(HAF[[#This Row],[Client Program Name]], SEARCH( "-",HAF[[#This Row],[Client Program Name]])+1,LEN(HAF[[#This Row],[Client Program Name]])-(SEARCH( "-",HAF[[#This Row],[Client Program Name]])-1))</f>
        <v xml:space="preserve"> Municipality of Taloyoak</v>
      </c>
      <c r="I145" s="16">
        <v>1108320.8</v>
      </c>
      <c r="J145" s="16">
        <f>IF(ISNUMBER(MATCH(HAF[[#This Row],[Client Program Name]],Table6[Client Program],0)), VLOOKUP(HAF[[#This Row],[Client Program Name]],Table6[], 6, FALSE), 0 )</f>
        <v>1108321</v>
      </c>
      <c r="K145" s="16">
        <f>IF(ISNUMBER(MATCH(HAF[[#This Row],[Client Program Name]],Table6[Client Program],0)), VLOOKUP(HAF[[#This Row],[Client Program Name]],Table6[], 7, FALSE), VLOOKUP(HAF[[#This Row],[Client Program Name]],Table2[], 7, FALSE) )</f>
        <v>12</v>
      </c>
      <c r="L145" s="16">
        <v>16</v>
      </c>
      <c r="M145" s="16">
        <f>IF(ISNUMBER(MATCH(HAF[[#This Row],[Client Program Name]],Table6[Client Program],0)), VLOOKUP(HAF[[#This Row],[Client Program Name]],Table6[], 9, FALSE), 0 )</f>
        <v>16</v>
      </c>
      <c r="N145" s="16">
        <f>IF(ISNUMBER(MATCH(HAF[[#This Row],[Client Program Name]],Table6[Client Program],0)), VLOOKUP(HAF[[#This Row],[Client Program Name]],Table6[], 10, FALSE), VLOOKUP(HAF[[#This Row],[Client Program Name]],Table2[], 8, FALSE) )</f>
        <v>28</v>
      </c>
      <c r="O145" s="16">
        <v>64</v>
      </c>
      <c r="P145" s="3"/>
      <c r="Q145" s="14"/>
    </row>
    <row r="146" spans="1:17" x14ac:dyDescent="0.35">
      <c r="A146" s="14" t="s">
        <v>248</v>
      </c>
      <c r="B146" s="14" t="str">
        <f>IF(HAF[[#This Row],[Program]]="Housing Accelerator Fund", "Round One", "Round Two")</f>
        <v>Round One</v>
      </c>
      <c r="C146" s="14" t="s">
        <v>159</v>
      </c>
      <c r="D146" s="14" t="s">
        <v>146</v>
      </c>
      <c r="E146" s="14" t="s">
        <v>17</v>
      </c>
      <c r="F146" s="14" t="s">
        <v>11</v>
      </c>
      <c r="G146" s="15">
        <v>45309</v>
      </c>
      <c r="H146" s="15" t="str">
        <f>MID(HAF[[#This Row],[Client Program Name]], SEARCH( "-",HAF[[#This Row],[Client Program Name]])+1,LEN(HAF[[#This Row],[Client Program Name]])-(SEARCH( "-",HAF[[#This Row],[Client Program Name]])-1))</f>
        <v xml:space="preserve"> Municipality of Kugaaruk</v>
      </c>
      <c r="I146" s="16">
        <v>463414.5</v>
      </c>
      <c r="J146" s="16">
        <f>IF(ISNUMBER(MATCH(HAF[[#This Row],[Client Program Name]],Table6[Client Program],0)), VLOOKUP(HAF[[#This Row],[Client Program Name]],Table6[], 6, FALSE), 0 )</f>
        <v>463415</v>
      </c>
      <c r="K146" s="16">
        <f>IF(ISNUMBER(MATCH(HAF[[#This Row],[Client Program Name]],Table6[Client Program],0)), VLOOKUP(HAF[[#This Row],[Client Program Name]],Table6[], 7, FALSE), VLOOKUP(HAF[[#This Row],[Client Program Name]],Table2[], 7, FALSE) )</f>
        <v>27</v>
      </c>
      <c r="L146" s="16">
        <v>8</v>
      </c>
      <c r="M146" s="16">
        <f>IF(ISNUMBER(MATCH(HAF[[#This Row],[Client Program Name]],Table6[Client Program],0)), VLOOKUP(HAF[[#This Row],[Client Program Name]],Table6[], 9, FALSE), 0 )</f>
        <v>8</v>
      </c>
      <c r="N146" s="16">
        <f>IF(ISNUMBER(MATCH(HAF[[#This Row],[Client Program Name]],Table6[Client Program],0)), VLOOKUP(HAF[[#This Row],[Client Program Name]],Table6[], 10, FALSE), VLOOKUP(HAF[[#This Row],[Client Program Name]],Table2[], 8, FALSE) )</f>
        <v>35</v>
      </c>
      <c r="O146" s="16">
        <v>42</v>
      </c>
      <c r="P146" s="3"/>
      <c r="Q146" s="14"/>
    </row>
    <row r="147" spans="1:17" x14ac:dyDescent="0.35">
      <c r="A147" s="14" t="s">
        <v>248</v>
      </c>
      <c r="B147" s="14" t="str">
        <f>IF(HAF[[#This Row],[Program]]="Housing Accelerator Fund", "Round One", "Round Two")</f>
        <v>Round One</v>
      </c>
      <c r="C147" s="14" t="s">
        <v>162</v>
      </c>
      <c r="D147" s="14" t="s">
        <v>146</v>
      </c>
      <c r="E147" s="14" t="s">
        <v>17</v>
      </c>
      <c r="F147" s="14" t="s">
        <v>11</v>
      </c>
      <c r="G147" s="15">
        <v>45314</v>
      </c>
      <c r="H147" s="15" t="str">
        <f>MID(HAF[[#This Row],[Client Program Name]], SEARCH( "-",HAF[[#This Row],[Client Program Name]])+1,LEN(HAF[[#This Row],[Client Program Name]])-(SEARCH( "-",HAF[[#This Row],[Client Program Name]])-1))</f>
        <v xml:space="preserve"> Municipality of Pond Inlet</v>
      </c>
      <c r="I147" s="16">
        <v>761813.8</v>
      </c>
      <c r="J147" s="16">
        <f>IF(ISNUMBER(MATCH(HAF[[#This Row],[Client Program Name]],Table6[Client Program],0)), VLOOKUP(HAF[[#This Row],[Client Program Name]],Table6[], 6, FALSE), 0 )</f>
        <v>761814</v>
      </c>
      <c r="K147" s="16">
        <f>IF(ISNUMBER(MATCH(HAF[[#This Row],[Client Program Name]],Table6[Client Program],0)), VLOOKUP(HAF[[#This Row],[Client Program Name]],Table6[], 7, FALSE), VLOOKUP(HAF[[#This Row],[Client Program Name]],Table2[], 7, FALSE) )</f>
        <v>27</v>
      </c>
      <c r="L147" s="16">
        <v>11</v>
      </c>
      <c r="M147" s="16">
        <f>IF(ISNUMBER(MATCH(HAF[[#This Row],[Client Program Name]],Table6[Client Program],0)), VLOOKUP(HAF[[#This Row],[Client Program Name]],Table6[], 9, FALSE), 0 )</f>
        <v>11</v>
      </c>
      <c r="N147" s="16">
        <f>IF(ISNUMBER(MATCH(HAF[[#This Row],[Client Program Name]],Table6[Client Program],0)), VLOOKUP(HAF[[#This Row],[Client Program Name]],Table6[], 10, FALSE), VLOOKUP(HAF[[#This Row],[Client Program Name]],Table2[], 8, FALSE) )</f>
        <v>38</v>
      </c>
      <c r="O147" s="16">
        <v>76</v>
      </c>
      <c r="P147" s="3"/>
      <c r="Q147" s="14"/>
    </row>
    <row r="148" spans="1:17" x14ac:dyDescent="0.35">
      <c r="A148" s="14" t="s">
        <v>248</v>
      </c>
      <c r="B148" s="14" t="str">
        <f>IF(HAF[[#This Row],[Program]]="Housing Accelerator Fund", "Round One", "Round Two")</f>
        <v>Round One</v>
      </c>
      <c r="C148" s="14" t="s">
        <v>156</v>
      </c>
      <c r="D148" s="14" t="s">
        <v>146</v>
      </c>
      <c r="E148" s="14" t="s">
        <v>17</v>
      </c>
      <c r="F148" s="14" t="s">
        <v>11</v>
      </c>
      <c r="G148" s="15">
        <v>45320</v>
      </c>
      <c r="H148" s="15" t="str">
        <f>MID(HAF[[#This Row],[Client Program Name]], SEARCH( "-",HAF[[#This Row],[Client Program Name]])+1,LEN(HAF[[#This Row],[Client Program Name]])-(SEARCH( "-",HAF[[#This Row],[Client Program Name]])-1))</f>
        <v xml:space="preserve"> Municipality of Igloolik</v>
      </c>
      <c r="I148" s="16">
        <v>1156658.3999999999</v>
      </c>
      <c r="J148" s="16">
        <f>IF(ISNUMBER(MATCH(HAF[[#This Row],[Client Program Name]],Table6[Client Program],0)), VLOOKUP(HAF[[#This Row],[Client Program Name]],Table6[], 6, FALSE), 0 )</f>
        <v>1156658</v>
      </c>
      <c r="K148" s="16">
        <f>IF(ISNUMBER(MATCH(HAF[[#This Row],[Client Program Name]],Table6[Client Program],0)), VLOOKUP(HAF[[#This Row],[Client Program Name]],Table6[], 7, FALSE), VLOOKUP(HAF[[#This Row],[Client Program Name]],Table2[], 7, FALSE) )</f>
        <v>18</v>
      </c>
      <c r="L148" s="16">
        <v>18</v>
      </c>
      <c r="M148" s="16">
        <f>IF(ISNUMBER(MATCH(HAF[[#This Row],[Client Program Name]],Table6[Client Program],0)), VLOOKUP(HAF[[#This Row],[Client Program Name]],Table6[], 9, FALSE), 0 )</f>
        <v>18</v>
      </c>
      <c r="N148" s="16">
        <f>IF(ISNUMBER(MATCH(HAF[[#This Row],[Client Program Name]],Table6[Client Program],0)), VLOOKUP(HAF[[#This Row],[Client Program Name]],Table6[], 10, FALSE), VLOOKUP(HAF[[#This Row],[Client Program Name]],Table2[], 8, FALSE) )</f>
        <v>36</v>
      </c>
      <c r="O148" s="16">
        <v>40</v>
      </c>
      <c r="P148" s="3"/>
      <c r="Q148" s="14"/>
    </row>
    <row r="149" spans="1:17" x14ac:dyDescent="0.35">
      <c r="A149" s="14" t="s">
        <v>248</v>
      </c>
      <c r="B149" s="14" t="str">
        <f>IF(HAF[[#This Row],[Program]]="Housing Accelerator Fund", "Round One", "Round Two")</f>
        <v>Round One</v>
      </c>
      <c r="C149" s="14" t="s">
        <v>145</v>
      </c>
      <c r="D149" s="14" t="s">
        <v>146</v>
      </c>
      <c r="E149" s="14" t="s">
        <v>17</v>
      </c>
      <c r="F149" s="14" t="s">
        <v>11</v>
      </c>
      <c r="G149" s="15">
        <v>45280</v>
      </c>
      <c r="H149" s="15" t="str">
        <f>MID(HAF[[#This Row],[Client Program Name]], SEARCH( "-",HAF[[#This Row],[Client Program Name]])+1,LEN(HAF[[#This Row],[Client Program Name]])-(SEARCH( "-",HAF[[#This Row],[Client Program Name]])-1))</f>
        <v xml:space="preserve"> City of Iqaluit</v>
      </c>
      <c r="I149" s="16">
        <v>9745200</v>
      </c>
      <c r="J149" s="16">
        <f>IF(ISNUMBER(MATCH(HAF[[#This Row],[Client Program Name]],Table6[Client Program],0)), VLOOKUP(HAF[[#This Row],[Client Program Name]],Table6[], 6, FALSE), 0 )</f>
        <v>8858200</v>
      </c>
      <c r="K149" s="16">
        <f>IF(ISNUMBER(MATCH(HAF[[#This Row],[Client Program Name]],Table6[Client Program],0)), VLOOKUP(HAF[[#This Row],[Client Program Name]],Table6[], 7, FALSE), VLOOKUP(HAF[[#This Row],[Client Program Name]],Table2[], 7, FALSE) )</f>
        <v>150</v>
      </c>
      <c r="L149" s="16">
        <v>178</v>
      </c>
      <c r="M149" s="16">
        <f>IF(ISNUMBER(MATCH(HAF[[#This Row],[Client Program Name]],Table6[Client Program],0)), VLOOKUP(HAF[[#This Row],[Client Program Name]],Table6[], 9, FALSE), 0 )</f>
        <v>160</v>
      </c>
      <c r="N149" s="16">
        <f>IF(ISNUMBER(MATCH(HAF[[#This Row],[Client Program Name]],Table6[Client Program],0)), VLOOKUP(HAF[[#This Row],[Client Program Name]],Table6[], 10, FALSE), VLOOKUP(HAF[[#This Row],[Client Program Name]],Table2[], 8, FALSE) )</f>
        <v>328</v>
      </c>
      <c r="O149" s="16">
        <v>1540</v>
      </c>
      <c r="P149" s="3"/>
      <c r="Q149" s="14"/>
    </row>
    <row r="150" spans="1:17" x14ac:dyDescent="0.35">
      <c r="A150" s="14" t="s">
        <v>248</v>
      </c>
      <c r="B150" s="14" t="str">
        <f>IF(HAF[[#This Row],[Program]]="Housing Accelerator Fund", "Round One", "Round Two")</f>
        <v>Round One</v>
      </c>
      <c r="C150" s="14" t="s">
        <v>164</v>
      </c>
      <c r="D150" s="14" t="s">
        <v>146</v>
      </c>
      <c r="E150" s="14" t="s">
        <v>17</v>
      </c>
      <c r="F150" s="14" t="s">
        <v>11</v>
      </c>
      <c r="G150" s="15">
        <v>45320</v>
      </c>
      <c r="H150" s="15" t="str">
        <f>MID(HAF[[#This Row],[Client Program Name]], SEARCH( "-",HAF[[#This Row],[Client Program Name]])+1,LEN(HAF[[#This Row],[Client Program Name]])-(SEARCH( "-",HAF[[#This Row],[Client Program Name]])-1))</f>
        <v xml:space="preserve"> Municipality of Rankin Inlet</v>
      </c>
      <c r="I150" s="16">
        <v>1066233.6000000001</v>
      </c>
      <c r="J150" s="16">
        <f>IF(ISNUMBER(MATCH(HAF[[#This Row],[Client Program Name]],Table6[Client Program],0)), VLOOKUP(HAF[[#This Row],[Client Program Name]],Table6[], 6, FALSE), 0 )</f>
        <v>1066234</v>
      </c>
      <c r="K150" s="16">
        <f>IF(ISNUMBER(MATCH(HAF[[#This Row],[Client Program Name]],Table6[Client Program],0)), VLOOKUP(HAF[[#This Row],[Client Program Name]],Table6[], 7, FALSE), VLOOKUP(HAF[[#This Row],[Client Program Name]],Table2[], 7, FALSE) )</f>
        <v>18</v>
      </c>
      <c r="L150" s="16">
        <v>18</v>
      </c>
      <c r="M150" s="16">
        <f>IF(ISNUMBER(MATCH(HAF[[#This Row],[Client Program Name]],Table6[Client Program],0)), VLOOKUP(HAF[[#This Row],[Client Program Name]],Table6[], 9, FALSE), 0 )</f>
        <v>18</v>
      </c>
      <c r="N150" s="16">
        <f>IF(ISNUMBER(MATCH(HAF[[#This Row],[Client Program Name]],Table6[Client Program],0)), VLOOKUP(HAF[[#This Row],[Client Program Name]],Table6[], 10, FALSE), VLOOKUP(HAF[[#This Row],[Client Program Name]],Table2[], 8, FALSE) )</f>
        <v>36</v>
      </c>
      <c r="O150" s="16">
        <v>310</v>
      </c>
      <c r="P150" s="3"/>
      <c r="Q150" s="14"/>
    </row>
    <row r="151" spans="1:17" x14ac:dyDescent="0.35">
      <c r="A151" s="14" t="s">
        <v>248</v>
      </c>
      <c r="B151" s="14" t="str">
        <f>IF(HAF[[#This Row],[Program]]="Housing Accelerator Fund", "Round One", "Round Two")</f>
        <v>Round One</v>
      </c>
      <c r="C151" s="14" t="s">
        <v>147</v>
      </c>
      <c r="D151" s="14" t="s">
        <v>146</v>
      </c>
      <c r="E151" s="14" t="s">
        <v>17</v>
      </c>
      <c r="F151" s="14" t="s">
        <v>11</v>
      </c>
      <c r="G151" s="15">
        <v>45309</v>
      </c>
      <c r="H151" s="15" t="str">
        <f>MID(HAF[[#This Row],[Client Program Name]], SEARCH( "-",HAF[[#This Row],[Client Program Name]])+1,LEN(HAF[[#This Row],[Client Program Name]])-(SEARCH( "-",HAF[[#This Row],[Client Program Name]])-1))</f>
        <v xml:space="preserve"> Municipality of Arctic Bay</v>
      </c>
      <c r="I151" s="16">
        <v>554219.30000000005</v>
      </c>
      <c r="J151" s="16">
        <f>IF(ISNUMBER(MATCH(HAF[[#This Row],[Client Program Name]],Table6[Client Program],0)), VLOOKUP(HAF[[#This Row],[Client Program Name]],Table6[], 6, FALSE), 0 )</f>
        <v>554219</v>
      </c>
      <c r="K151" s="16">
        <f>IF(ISNUMBER(MATCH(HAF[[#This Row],[Client Program Name]],Table6[Client Program],0)), VLOOKUP(HAF[[#This Row],[Client Program Name]],Table6[], 7, FALSE), VLOOKUP(HAF[[#This Row],[Client Program Name]],Table2[], 7, FALSE) )</f>
        <v>1</v>
      </c>
      <c r="L151" s="16">
        <v>8</v>
      </c>
      <c r="M151" s="16">
        <f>IF(ISNUMBER(MATCH(HAF[[#This Row],[Client Program Name]],Table6[Client Program],0)), VLOOKUP(HAF[[#This Row],[Client Program Name]],Table6[], 9, FALSE), 0 )</f>
        <v>8</v>
      </c>
      <c r="N151" s="16">
        <f>IF(ISNUMBER(MATCH(HAF[[#This Row],[Client Program Name]],Table6[Client Program],0)), VLOOKUP(HAF[[#This Row],[Client Program Name]],Table6[], 10, FALSE), VLOOKUP(HAF[[#This Row],[Client Program Name]],Table2[], 8, FALSE) )</f>
        <v>9</v>
      </c>
      <c r="O151" s="16">
        <v>63</v>
      </c>
      <c r="P151" s="3"/>
      <c r="Q151" s="14"/>
    </row>
    <row r="152" spans="1:17" x14ac:dyDescent="0.35">
      <c r="A152" s="14" t="s">
        <v>248</v>
      </c>
      <c r="B152" s="14" t="str">
        <f>IF(HAF[[#This Row],[Program]]="Housing Accelerator Fund", "Round One", "Round Two")</f>
        <v>Round One</v>
      </c>
      <c r="C152" s="14" t="s">
        <v>157</v>
      </c>
      <c r="D152" s="14" t="s">
        <v>146</v>
      </c>
      <c r="E152" s="14" t="s">
        <v>17</v>
      </c>
      <c r="F152" s="14" t="s">
        <v>11</v>
      </c>
      <c r="G152" s="15">
        <v>45320</v>
      </c>
      <c r="H152" s="15" t="str">
        <f>MID(HAF[[#This Row],[Client Program Name]], SEARCH( "-",HAF[[#This Row],[Client Program Name]])+1,LEN(HAF[[#This Row],[Client Program Name]])-(SEARCH( "-",HAF[[#This Row],[Client Program Name]])-1))</f>
        <v xml:space="preserve"> Municipality of Kimmirut</v>
      </c>
      <c r="I152" s="16">
        <v>1329417.5</v>
      </c>
      <c r="J152" s="16">
        <f>IF(ISNUMBER(MATCH(HAF[[#This Row],[Client Program Name]],Table6[Client Program],0)), VLOOKUP(HAF[[#This Row],[Client Program Name]],Table6[], 6, FALSE), 0 )</f>
        <v>1329418</v>
      </c>
      <c r="K152" s="16">
        <f>IF(ISNUMBER(MATCH(HAF[[#This Row],[Client Program Name]],Table6[Client Program],0)), VLOOKUP(HAF[[#This Row],[Client Program Name]],Table6[], 7, FALSE), VLOOKUP(HAF[[#This Row],[Client Program Name]],Table2[], 7, FALSE) )</f>
        <v>5</v>
      </c>
      <c r="L152" s="16">
        <v>20</v>
      </c>
      <c r="M152" s="16">
        <f>IF(ISNUMBER(MATCH(HAF[[#This Row],[Client Program Name]],Table6[Client Program],0)), VLOOKUP(HAF[[#This Row],[Client Program Name]],Table6[], 9, FALSE), 0 )</f>
        <v>20</v>
      </c>
      <c r="N152" s="16">
        <f>IF(ISNUMBER(MATCH(HAF[[#This Row],[Client Program Name]],Table6[Client Program],0)), VLOOKUP(HAF[[#This Row],[Client Program Name]],Table6[], 10, FALSE), VLOOKUP(HAF[[#This Row],[Client Program Name]],Table2[], 8, FALSE) )</f>
        <v>25</v>
      </c>
      <c r="O152" s="16">
        <v>70</v>
      </c>
      <c r="P152" s="3"/>
      <c r="Q152" s="14"/>
    </row>
    <row r="153" spans="1:17" x14ac:dyDescent="0.35">
      <c r="A153" s="14" t="s">
        <v>248</v>
      </c>
      <c r="B153" s="14" t="str">
        <f>IF(HAF[[#This Row],[Program]]="Housing Accelerator Fund", "Round One", "Round Two")</f>
        <v>Round One</v>
      </c>
      <c r="C153" s="14" t="s">
        <v>151</v>
      </c>
      <c r="D153" s="14" t="s">
        <v>146</v>
      </c>
      <c r="E153" s="14" t="s">
        <v>17</v>
      </c>
      <c r="F153" s="14" t="s">
        <v>11</v>
      </c>
      <c r="G153" s="15">
        <v>45320</v>
      </c>
      <c r="H153" s="15" t="str">
        <f>MID(HAF[[#This Row],[Client Program Name]], SEARCH( "-",HAF[[#This Row],[Client Program Name]])+1,LEN(HAF[[#This Row],[Client Program Name]])-(SEARCH( "-",HAF[[#This Row],[Client Program Name]])-1))</f>
        <v xml:space="preserve"> Municipality of Chesterfield Inlet</v>
      </c>
      <c r="I153" s="16">
        <v>1034768</v>
      </c>
      <c r="J153" s="16">
        <f>IF(ISNUMBER(MATCH(HAF[[#This Row],[Client Program Name]],Table6[Client Program],0)), VLOOKUP(HAF[[#This Row],[Client Program Name]],Table6[], 6, FALSE), 0 )</f>
        <v>1034768</v>
      </c>
      <c r="K153" s="16">
        <f>IF(ISNUMBER(MATCH(HAF[[#This Row],[Client Program Name]],Table6[Client Program],0)), VLOOKUP(HAF[[#This Row],[Client Program Name]],Table6[], 7, FALSE), VLOOKUP(HAF[[#This Row],[Client Program Name]],Table2[], 7, FALSE) )</f>
        <v>4</v>
      </c>
      <c r="L153" s="16">
        <v>16</v>
      </c>
      <c r="M153" s="16">
        <f>IF(ISNUMBER(MATCH(HAF[[#This Row],[Client Program Name]],Table6[Client Program],0)), VLOOKUP(HAF[[#This Row],[Client Program Name]],Table6[], 9, FALSE), 0 )</f>
        <v>16</v>
      </c>
      <c r="N153" s="16">
        <f>IF(ISNUMBER(MATCH(HAF[[#This Row],[Client Program Name]],Table6[Client Program],0)), VLOOKUP(HAF[[#This Row],[Client Program Name]],Table6[], 10, FALSE), VLOOKUP(HAF[[#This Row],[Client Program Name]],Table2[], 8, FALSE) )</f>
        <v>20</v>
      </c>
      <c r="O153" s="16">
        <v>21</v>
      </c>
      <c r="P153" s="3"/>
      <c r="Q153" s="14"/>
    </row>
    <row r="154" spans="1:17" x14ac:dyDescent="0.35">
      <c r="A154" s="14" t="s">
        <v>248</v>
      </c>
      <c r="B154" s="14" t="str">
        <f>IF(HAF[[#This Row],[Program]]="Housing Accelerator Fund", "Round One", "Round Two")</f>
        <v>Round One</v>
      </c>
      <c r="C154" s="14" t="s">
        <v>149</v>
      </c>
      <c r="D154" s="14" t="s">
        <v>146</v>
      </c>
      <c r="E154" s="14" t="s">
        <v>17</v>
      </c>
      <c r="F154" s="14" t="s">
        <v>11</v>
      </c>
      <c r="G154" s="15">
        <v>45314</v>
      </c>
      <c r="H154" s="15" t="str">
        <f>MID(HAF[[#This Row],[Client Program Name]], SEARCH( "-",HAF[[#This Row],[Client Program Name]])+1,LEN(HAF[[#This Row],[Client Program Name]])-(SEARCH( "-",HAF[[#This Row],[Client Program Name]])-1))</f>
        <v xml:space="preserve"> Municipality of Baker Lake</v>
      </c>
      <c r="I154" s="16">
        <v>538452</v>
      </c>
      <c r="J154" s="16">
        <f>IF(ISNUMBER(MATCH(HAF[[#This Row],[Client Program Name]],Table6[Client Program],0)), VLOOKUP(HAF[[#This Row],[Client Program Name]],Table6[], 6, FALSE), 0 )</f>
        <v>538452</v>
      </c>
      <c r="K154" s="16">
        <f>IF(ISNUMBER(MATCH(HAF[[#This Row],[Client Program Name]],Table6[Client Program],0)), VLOOKUP(HAF[[#This Row],[Client Program Name]],Table6[], 7, FALSE), VLOOKUP(HAF[[#This Row],[Client Program Name]],Table2[], 7, FALSE) )</f>
        <v>3</v>
      </c>
      <c r="L154" s="16">
        <v>9</v>
      </c>
      <c r="M154" s="16">
        <f>IF(ISNUMBER(MATCH(HAF[[#This Row],[Client Program Name]],Table6[Client Program],0)), VLOOKUP(HAF[[#This Row],[Client Program Name]],Table6[], 9, FALSE), 0 )</f>
        <v>9</v>
      </c>
      <c r="N154" s="16">
        <f>IF(ISNUMBER(MATCH(HAF[[#This Row],[Client Program Name]],Table6[Client Program],0)), VLOOKUP(HAF[[#This Row],[Client Program Name]],Table6[], 10, FALSE), VLOOKUP(HAF[[#This Row],[Client Program Name]],Table2[], 8, FALSE) )</f>
        <v>12</v>
      </c>
      <c r="O154" s="16">
        <v>180</v>
      </c>
      <c r="P154" s="3"/>
      <c r="Q154" s="14"/>
    </row>
    <row r="155" spans="1:17" x14ac:dyDescent="0.35">
      <c r="A155" s="14" t="s">
        <v>248</v>
      </c>
      <c r="B155" s="14" t="str">
        <f>IF(HAF[[#This Row],[Program]]="Housing Accelerator Fund", "Round One", "Round Two")</f>
        <v>Round One</v>
      </c>
      <c r="C155" s="14" t="s">
        <v>153</v>
      </c>
      <c r="D155" s="14" t="s">
        <v>146</v>
      </c>
      <c r="E155" s="14" t="s">
        <v>17</v>
      </c>
      <c r="F155" s="14" t="s">
        <v>11</v>
      </c>
      <c r="G155" s="15">
        <v>45313</v>
      </c>
      <c r="H155" s="15" t="str">
        <f>MID(HAF[[#This Row],[Client Program Name]], SEARCH( "-",HAF[[#This Row],[Client Program Name]])+1,LEN(HAF[[#This Row],[Client Program Name]])-(SEARCH( "-",HAF[[#This Row],[Client Program Name]])-1))</f>
        <v xml:space="preserve"> Municipality of Gjoa Haven</v>
      </c>
      <c r="I155" s="16">
        <v>1845000</v>
      </c>
      <c r="J155" s="16">
        <f>IF(ISNUMBER(MATCH(HAF[[#This Row],[Client Program Name]],Table6[Client Program],0)), VLOOKUP(HAF[[#This Row],[Client Program Name]],Table6[], 6, FALSE), 0 )</f>
        <v>1845000</v>
      </c>
      <c r="K155" s="16">
        <f>IF(ISNUMBER(MATCH(HAF[[#This Row],[Client Program Name]],Table6[Client Program],0)), VLOOKUP(HAF[[#This Row],[Client Program Name]],Table6[], 7, FALSE), VLOOKUP(HAF[[#This Row],[Client Program Name]],Table2[], 7, FALSE) )</f>
        <v>30</v>
      </c>
      <c r="L155" s="16">
        <v>30</v>
      </c>
      <c r="M155" s="16">
        <f>IF(ISNUMBER(MATCH(HAF[[#This Row],[Client Program Name]],Table6[Client Program],0)), VLOOKUP(HAF[[#This Row],[Client Program Name]],Table6[], 9, FALSE), 0 )</f>
        <v>30</v>
      </c>
      <c r="N155" s="16">
        <f>IF(ISNUMBER(MATCH(HAF[[#This Row],[Client Program Name]],Table6[Client Program],0)), VLOOKUP(HAF[[#This Row],[Client Program Name]],Table6[], 10, FALSE), VLOOKUP(HAF[[#This Row],[Client Program Name]],Table2[], 8, FALSE) )</f>
        <v>60</v>
      </c>
      <c r="O155" s="16">
        <v>109</v>
      </c>
      <c r="P155" s="3"/>
      <c r="Q155" s="14"/>
    </row>
    <row r="156" spans="1:17" x14ac:dyDescent="0.35">
      <c r="A156" s="14" t="s">
        <v>248</v>
      </c>
      <c r="B156" s="14" t="str">
        <f>IF(HAF[[#This Row],[Program]]="Housing Accelerator Fund", "Round One", "Round Two")</f>
        <v>Round One</v>
      </c>
      <c r="C156" s="14" t="s">
        <v>188</v>
      </c>
      <c r="D156" s="14" t="s">
        <v>170</v>
      </c>
      <c r="E156" s="14" t="s">
        <v>10</v>
      </c>
      <c r="F156" s="14" t="s">
        <v>11</v>
      </c>
      <c r="G156" s="15">
        <v>45281</v>
      </c>
      <c r="H156" s="15" t="str">
        <f>MID(HAF[[#This Row],[Client Program Name]], SEARCH( "-",HAF[[#This Row],[Client Program Name]])+1,LEN(HAF[[#This Row],[Client Program Name]])-(SEARCH( "-",HAF[[#This Row],[Client Program Name]])-1))</f>
        <v xml:space="preserve"> Ottawa</v>
      </c>
      <c r="I156" s="16">
        <v>176323293</v>
      </c>
      <c r="J156" s="16">
        <f>IF(ISNUMBER(MATCH(HAF[[#This Row],[Client Program Name]],Table6[Client Program],0)), VLOOKUP(HAF[[#This Row],[Client Program Name]],Table6[], 6, FALSE), 0 )</f>
        <v>176323293</v>
      </c>
      <c r="K156" s="16">
        <f>IF(ISNUMBER(MATCH(HAF[[#This Row],[Client Program Name]],Table6[Client Program],0)), VLOOKUP(HAF[[#This Row],[Client Program Name]],Table6[], 7, FALSE), VLOOKUP(HAF[[#This Row],[Client Program Name]],Table2[], 7, FALSE) )</f>
        <v>33137</v>
      </c>
      <c r="L156" s="16">
        <v>4449</v>
      </c>
      <c r="M156" s="16">
        <f>IF(ISNUMBER(MATCH(HAF[[#This Row],[Client Program Name]],Table6[Client Program],0)), VLOOKUP(HAF[[#This Row],[Client Program Name]],Table6[], 9, FALSE), 0 )</f>
        <v>4449</v>
      </c>
      <c r="N156" s="16">
        <f>IF(ISNUMBER(MATCH(HAF[[#This Row],[Client Program Name]],Table6[Client Program],0)), VLOOKUP(HAF[[#This Row],[Client Program Name]],Table6[], 10, FALSE), VLOOKUP(HAF[[#This Row],[Client Program Name]],Table2[], 8, FALSE) )</f>
        <v>37586</v>
      </c>
      <c r="O156" s="16">
        <v>32609</v>
      </c>
      <c r="P156" s="3"/>
      <c r="Q156" s="14"/>
    </row>
    <row r="157" spans="1:17" x14ac:dyDescent="0.35">
      <c r="A157" s="14" t="s">
        <v>248</v>
      </c>
      <c r="B157" s="14" t="str">
        <f>IF(HAF[[#This Row],[Program]]="Housing Accelerator Fund", "Round One", "Round Two")</f>
        <v>Round One</v>
      </c>
      <c r="C157" s="14" t="s">
        <v>178</v>
      </c>
      <c r="D157" s="14" t="s">
        <v>170</v>
      </c>
      <c r="E157" s="14" t="s">
        <v>10</v>
      </c>
      <c r="F157" s="14" t="s">
        <v>11</v>
      </c>
      <c r="G157" s="15">
        <v>45225</v>
      </c>
      <c r="H157" s="15" t="str">
        <f>MID(HAF[[#This Row],[Client Program Name]], SEARCH( "-",HAF[[#This Row],[Client Program Name]])+1,LEN(HAF[[#This Row],[Client Program Name]])-(SEARCH( "-",HAF[[#This Row],[Client Program Name]])-1))</f>
        <v xml:space="preserve"> Kitchener</v>
      </c>
      <c r="I157" s="16">
        <v>46634984</v>
      </c>
      <c r="J157" s="16">
        <f>IF(ISNUMBER(MATCH(HAF[[#This Row],[Client Program Name]],Table6[Client Program],0)), VLOOKUP(HAF[[#This Row],[Client Program Name]],Table6[], 6, FALSE), 0 )</f>
        <v>42420984</v>
      </c>
      <c r="K157" s="16">
        <f>IF(ISNUMBER(MATCH(HAF[[#This Row],[Client Program Name]],Table6[Client Program],0)), VLOOKUP(HAF[[#This Row],[Client Program Name]],Table6[], 7, FALSE), VLOOKUP(HAF[[#This Row],[Client Program Name]],Table2[], 7, FALSE) )</f>
        <v>8455</v>
      </c>
      <c r="L157" s="16">
        <v>1314</v>
      </c>
      <c r="M157" s="16">
        <f>IF(ISNUMBER(MATCH(HAF[[#This Row],[Client Program Name]],Table6[Client Program],0)), VLOOKUP(HAF[[#This Row],[Client Program Name]],Table6[], 9, FALSE), 0 )</f>
        <v>1216</v>
      </c>
      <c r="N157" s="16">
        <f>IF(ISNUMBER(MATCH(HAF[[#This Row],[Client Program Name]],Table6[Client Program],0)), VLOOKUP(HAF[[#This Row],[Client Program Name]],Table6[], 10, FALSE), VLOOKUP(HAF[[#This Row],[Client Program Name]],Table2[], 8, FALSE) )</f>
        <v>9769</v>
      </c>
      <c r="O157" s="16">
        <v>38033</v>
      </c>
      <c r="P157" s="3"/>
      <c r="Q157" s="14"/>
    </row>
    <row r="158" spans="1:17" x14ac:dyDescent="0.35">
      <c r="A158" s="14" t="s">
        <v>248</v>
      </c>
      <c r="B158" s="14" t="str">
        <f>IF(HAF[[#This Row],[Program]]="Housing Accelerator Fund", "Round One", "Round Two")</f>
        <v>Round One</v>
      </c>
      <c r="C158" s="14" t="s">
        <v>183</v>
      </c>
      <c r="D158" s="14" t="s">
        <v>170</v>
      </c>
      <c r="E158" s="14" t="s">
        <v>10</v>
      </c>
      <c r="F158" s="14" t="s">
        <v>11</v>
      </c>
      <c r="G158" s="15">
        <v>45278</v>
      </c>
      <c r="H158" s="15" t="str">
        <f>MID(HAF[[#This Row],[Client Program Name]], SEARCH( "-",HAF[[#This Row],[Client Program Name]])+1,LEN(HAF[[#This Row],[Client Program Name]])-(SEARCH( "-",HAF[[#This Row],[Client Program Name]])-1))</f>
        <v xml:space="preserve"> Milton</v>
      </c>
      <c r="I158" s="16">
        <v>22418300</v>
      </c>
      <c r="J158" s="16">
        <f>IF(ISNUMBER(MATCH(HAF[[#This Row],[Client Program Name]],Table6[Client Program],0)), VLOOKUP(HAF[[#This Row],[Client Program Name]],Table6[], 6, FALSE), 0 )</f>
        <v>22418300</v>
      </c>
      <c r="K158" s="16">
        <f>IF(ISNUMBER(MATCH(HAF[[#This Row],[Client Program Name]],Table6[Client Program],0)), VLOOKUP(HAF[[#This Row],[Client Program Name]],Table6[], 7, FALSE), VLOOKUP(HAF[[#This Row],[Client Program Name]],Table2[], 7, FALSE) )</f>
        <v>3424</v>
      </c>
      <c r="L158" s="16">
        <v>801</v>
      </c>
      <c r="M158" s="16">
        <f>IF(ISNUMBER(MATCH(HAF[[#This Row],[Client Program Name]],Table6[Client Program],0)), VLOOKUP(HAF[[#This Row],[Client Program Name]],Table6[], 9, FALSE), 0 )</f>
        <v>801</v>
      </c>
      <c r="N158" s="16">
        <f>IF(ISNUMBER(MATCH(HAF[[#This Row],[Client Program Name]],Table6[Client Program],0)), VLOOKUP(HAF[[#This Row],[Client Program Name]],Table6[], 10, FALSE), VLOOKUP(HAF[[#This Row],[Client Program Name]],Table2[], 8, FALSE) )</f>
        <v>4225</v>
      </c>
      <c r="O158" s="16">
        <v>4619</v>
      </c>
      <c r="P158" s="3"/>
      <c r="Q158" s="14"/>
    </row>
    <row r="159" spans="1:17" x14ac:dyDescent="0.35">
      <c r="A159" s="14" t="s">
        <v>248</v>
      </c>
      <c r="B159" s="14" t="str">
        <f>IF(HAF[[#This Row],[Program]]="Housing Accelerator Fund", "Round One", "Round Two")</f>
        <v>Round One</v>
      </c>
      <c r="C159" s="14" t="s">
        <v>185</v>
      </c>
      <c r="D159" s="14" t="s">
        <v>170</v>
      </c>
      <c r="E159" s="14" t="s">
        <v>10</v>
      </c>
      <c r="F159" s="14" t="s">
        <v>11</v>
      </c>
      <c r="G159" s="15">
        <v>45229</v>
      </c>
      <c r="H159" s="15" t="str">
        <f>MID(HAF[[#This Row],[Client Program Name]], SEARCH( "-",HAF[[#This Row],[Client Program Name]])+1,LEN(HAF[[#This Row],[Client Program Name]])-(SEARCH( "-",HAF[[#This Row],[Client Program Name]])-1))</f>
        <v xml:space="preserve"> Mississauga</v>
      </c>
      <c r="I159" s="16">
        <v>112998131</v>
      </c>
      <c r="J159" s="16">
        <f>IF(ISNUMBER(MATCH(HAF[[#This Row],[Client Program Name]],Table6[Client Program],0)), VLOOKUP(HAF[[#This Row],[Client Program Name]],Table6[], 6, FALSE), 0 )</f>
        <v>112998131</v>
      </c>
      <c r="K159" s="16">
        <f>IF(ISNUMBER(MATCH(HAF[[#This Row],[Client Program Name]],Table6[Client Program],0)), VLOOKUP(HAF[[#This Row],[Client Program Name]],Table6[], 7, FALSE), VLOOKUP(HAF[[#This Row],[Client Program Name]],Table2[], 7, FALSE) )</f>
        <v>10534</v>
      </c>
      <c r="L159" s="16">
        <v>3043</v>
      </c>
      <c r="M159" s="16">
        <f>IF(ISNUMBER(MATCH(HAF[[#This Row],[Client Program Name]],Table6[Client Program],0)), VLOOKUP(HAF[[#This Row],[Client Program Name]],Table6[], 9, FALSE), 0 )</f>
        <v>3043</v>
      </c>
      <c r="N159" s="16">
        <f>IF(ISNUMBER(MATCH(HAF[[#This Row],[Client Program Name]],Table6[Client Program],0)), VLOOKUP(HAF[[#This Row],[Client Program Name]],Table6[], 10, FALSE), VLOOKUP(HAF[[#This Row],[Client Program Name]],Table2[], 8, FALSE) )</f>
        <v>13577</v>
      </c>
      <c r="O159" s="16">
        <v>35215</v>
      </c>
      <c r="P159" s="3"/>
      <c r="Q159" s="14"/>
    </row>
    <row r="160" spans="1:17" x14ac:dyDescent="0.35">
      <c r="A160" s="14" t="s">
        <v>248</v>
      </c>
      <c r="B160" s="14" t="str">
        <f>IF(HAF[[#This Row],[Program]]="Housing Accelerator Fund", "Round One", "Round Two")</f>
        <v>Round One</v>
      </c>
      <c r="C160" s="14" t="s">
        <v>201</v>
      </c>
      <c r="D160" s="14" t="s">
        <v>170</v>
      </c>
      <c r="E160" s="14" t="s">
        <v>10</v>
      </c>
      <c r="F160" s="14" t="s">
        <v>11</v>
      </c>
      <c r="G160" s="15">
        <v>45330</v>
      </c>
      <c r="H160" s="15" t="str">
        <f>MID(HAF[[#This Row],[Client Program Name]], SEARCH( "-",HAF[[#This Row],[Client Program Name]])+1,LEN(HAF[[#This Row],[Client Program Name]])-(SEARCH( "-",HAF[[#This Row],[Client Program Name]])-1))</f>
        <v xml:space="preserve"> Township of Woolwich</v>
      </c>
      <c r="I160" s="16">
        <v>6724742.2000000002</v>
      </c>
      <c r="J160" s="16">
        <f>IF(ISNUMBER(MATCH(HAF[[#This Row],[Client Program Name]],Table6[Client Program],0)), VLOOKUP(HAF[[#This Row],[Client Program Name]],Table6[], 6, FALSE), 0 )</f>
        <v>6724742</v>
      </c>
      <c r="K160" s="16">
        <f>IF(ISNUMBER(MATCH(HAF[[#This Row],[Client Program Name]],Table6[Client Program],0)), VLOOKUP(HAF[[#This Row],[Client Program Name]],Table6[], 7, FALSE), VLOOKUP(HAF[[#This Row],[Client Program Name]],Table2[], 7, FALSE) )</f>
        <v>696</v>
      </c>
      <c r="L160" s="16">
        <v>190</v>
      </c>
      <c r="M160" s="16">
        <f>IF(ISNUMBER(MATCH(HAF[[#This Row],[Client Program Name]],Table6[Client Program],0)), VLOOKUP(HAF[[#This Row],[Client Program Name]],Table6[], 9, FALSE), 0 )</f>
        <v>190</v>
      </c>
      <c r="N160" s="16">
        <f>IF(ISNUMBER(MATCH(HAF[[#This Row],[Client Program Name]],Table6[Client Program],0)), VLOOKUP(HAF[[#This Row],[Client Program Name]],Table6[], 10, FALSE), VLOOKUP(HAF[[#This Row],[Client Program Name]],Table2[], 8, FALSE) )</f>
        <v>886</v>
      </c>
      <c r="O160" s="16">
        <v>1648</v>
      </c>
      <c r="P160" s="3"/>
      <c r="Q160" s="14"/>
    </row>
    <row r="161" spans="1:17" x14ac:dyDescent="0.35">
      <c r="A161" s="14" t="s">
        <v>248</v>
      </c>
      <c r="B161" s="14" t="str">
        <f>IF(HAF[[#This Row],[Program]]="Housing Accelerator Fund", "Round One", "Round Two")</f>
        <v>Round One</v>
      </c>
      <c r="C161" s="14" t="s">
        <v>171</v>
      </c>
      <c r="D161" s="14" t="s">
        <v>170</v>
      </c>
      <c r="E161" s="14" t="s">
        <v>10</v>
      </c>
      <c r="F161" s="14" t="s">
        <v>11</v>
      </c>
      <c r="G161" s="15">
        <v>45209</v>
      </c>
      <c r="H161" s="15" t="str">
        <f>MID(HAF[[#This Row],[Client Program Name]], SEARCH( "-",HAF[[#This Row],[Client Program Name]])+1,LEN(HAF[[#This Row],[Client Program Name]])-(SEARCH( "-",HAF[[#This Row],[Client Program Name]])-1))</f>
        <v xml:space="preserve"> Brampton</v>
      </c>
      <c r="I161" s="16">
        <v>114540500</v>
      </c>
      <c r="J161" s="16">
        <f>IF(ISNUMBER(MATCH(HAF[[#This Row],[Client Program Name]],Table6[Client Program],0)), VLOOKUP(HAF[[#This Row],[Client Program Name]],Table6[], 6, FALSE), 0 )</f>
        <v>114540500</v>
      </c>
      <c r="K161" s="16">
        <f>IF(ISNUMBER(MATCH(HAF[[#This Row],[Client Program Name]],Table6[Client Program],0)), VLOOKUP(HAF[[#This Row],[Client Program Name]],Table6[], 7, FALSE), VLOOKUP(HAF[[#This Row],[Client Program Name]],Table2[], 7, FALSE) )</f>
        <v>13500</v>
      </c>
      <c r="L161" s="16">
        <v>3150</v>
      </c>
      <c r="M161" s="16">
        <f>IF(ISNUMBER(MATCH(HAF[[#This Row],[Client Program Name]],Table6[Client Program],0)), VLOOKUP(HAF[[#This Row],[Client Program Name]],Table6[], 9, FALSE), 0 )</f>
        <v>3150</v>
      </c>
      <c r="N161" s="16">
        <f>IF(ISNUMBER(MATCH(HAF[[#This Row],[Client Program Name]],Table6[Client Program],0)), VLOOKUP(HAF[[#This Row],[Client Program Name]],Table6[], 10, FALSE), VLOOKUP(HAF[[#This Row],[Client Program Name]],Table2[], 8, FALSE) )</f>
        <v>16650</v>
      </c>
      <c r="O161" s="16">
        <v>24100</v>
      </c>
      <c r="P161" s="3"/>
      <c r="Q161" s="14"/>
    </row>
    <row r="162" spans="1:17" x14ac:dyDescent="0.35">
      <c r="A162" s="14" t="s">
        <v>248</v>
      </c>
      <c r="B162" s="14" t="str">
        <f>IF(HAF[[#This Row],[Program]]="Housing Accelerator Fund", "Round One", "Round Two")</f>
        <v>Round One</v>
      </c>
      <c r="C162" s="14" t="s">
        <v>190</v>
      </c>
      <c r="D162" s="14" t="s">
        <v>170</v>
      </c>
      <c r="E162" s="14" t="s">
        <v>10</v>
      </c>
      <c r="F162" s="14" t="s">
        <v>11</v>
      </c>
      <c r="G162" s="15">
        <v>45245</v>
      </c>
      <c r="H162" s="15" t="str">
        <f>MID(HAF[[#This Row],[Client Program Name]], SEARCH( "-",HAF[[#This Row],[Client Program Name]])+1,LEN(HAF[[#This Row],[Client Program Name]])-(SEARCH( "-",HAF[[#This Row],[Client Program Name]])-1))</f>
        <v xml:space="preserve"> Richmond Hill</v>
      </c>
      <c r="I162" s="16">
        <v>31115380</v>
      </c>
      <c r="J162" s="16">
        <f>IF(ISNUMBER(MATCH(HAF[[#This Row],[Client Program Name]],Table6[Client Program],0)), VLOOKUP(HAF[[#This Row],[Client Program Name]],Table6[], 6, FALSE), 0 )</f>
        <v>31115380</v>
      </c>
      <c r="K162" s="16">
        <f>IF(ISNUMBER(MATCH(HAF[[#This Row],[Client Program Name]],Table6[Client Program],0)), VLOOKUP(HAF[[#This Row],[Client Program Name]],Table6[], 7, FALSE), VLOOKUP(HAF[[#This Row],[Client Program Name]],Table2[], 7, FALSE) )</f>
        <v>4032</v>
      </c>
      <c r="L162" s="16">
        <v>788</v>
      </c>
      <c r="M162" s="16">
        <f>IF(ISNUMBER(MATCH(HAF[[#This Row],[Client Program Name]],Table6[Client Program],0)), VLOOKUP(HAF[[#This Row],[Client Program Name]],Table6[], 9, FALSE), 0 )</f>
        <v>788</v>
      </c>
      <c r="N162" s="16">
        <f>IF(ISNUMBER(MATCH(HAF[[#This Row],[Client Program Name]],Table6[Client Program],0)), VLOOKUP(HAF[[#This Row],[Client Program Name]],Table6[], 10, FALSE), VLOOKUP(HAF[[#This Row],[Client Program Name]],Table2[], 8, FALSE) )</f>
        <v>4820</v>
      </c>
      <c r="O162" s="16">
        <v>41760</v>
      </c>
      <c r="P162" s="3"/>
      <c r="Q162" s="14"/>
    </row>
    <row r="163" spans="1:17" x14ac:dyDescent="0.35">
      <c r="A163" s="14" t="s">
        <v>248</v>
      </c>
      <c r="B163" s="14" t="str">
        <f>IF(HAF[[#This Row],[Program]]="Housing Accelerator Fund", "Round One", "Round Two")</f>
        <v>Round One</v>
      </c>
      <c r="C163" s="14" t="s">
        <v>173</v>
      </c>
      <c r="D163" s="14" t="s">
        <v>170</v>
      </c>
      <c r="E163" s="14" t="s">
        <v>10</v>
      </c>
      <c r="F163" s="14" t="s">
        <v>11</v>
      </c>
      <c r="G163" s="15">
        <v>45322</v>
      </c>
      <c r="H163" s="15" t="str">
        <f>MID(HAF[[#This Row],[Client Program Name]], SEARCH( "-",HAF[[#This Row],[Client Program Name]])+1,LEN(HAF[[#This Row],[Client Program Name]])-(SEARCH( "-",HAF[[#This Row],[Client Program Name]])-1))</f>
        <v xml:space="preserve"> City of Cambridge</v>
      </c>
      <c r="I163" s="16">
        <v>13347095.199999999</v>
      </c>
      <c r="J163" s="16">
        <f>IF(ISNUMBER(MATCH(HAF[[#This Row],[Client Program Name]],Table6[Client Program],0)), VLOOKUP(HAF[[#This Row],[Client Program Name]],Table6[], 6, FALSE), 0 )</f>
        <v>13347095</v>
      </c>
      <c r="K163" s="16">
        <f>IF(ISNUMBER(MATCH(HAF[[#This Row],[Client Program Name]],Table6[Client Program],0)), VLOOKUP(HAF[[#This Row],[Client Program Name]],Table6[], 7, FALSE), VLOOKUP(HAF[[#This Row],[Client Program Name]],Table2[], 7, FALSE) )</f>
        <v>2615</v>
      </c>
      <c r="L163" s="16">
        <v>357</v>
      </c>
      <c r="M163" s="16">
        <f>IF(ISNUMBER(MATCH(HAF[[#This Row],[Client Program Name]],Table6[Client Program],0)), VLOOKUP(HAF[[#This Row],[Client Program Name]],Table6[], 9, FALSE), 0 )</f>
        <v>357</v>
      </c>
      <c r="N163" s="16">
        <f>IF(ISNUMBER(MATCH(HAF[[#This Row],[Client Program Name]],Table6[Client Program],0)), VLOOKUP(HAF[[#This Row],[Client Program Name]],Table6[], 10, FALSE), VLOOKUP(HAF[[#This Row],[Client Program Name]],Table2[], 8, FALSE) )</f>
        <v>2972</v>
      </c>
      <c r="O163" s="16">
        <v>3625</v>
      </c>
      <c r="P163" s="3"/>
      <c r="Q163" s="14"/>
    </row>
    <row r="164" spans="1:17" x14ac:dyDescent="0.35">
      <c r="A164" s="14" t="s">
        <v>248</v>
      </c>
      <c r="B164" s="14" t="str">
        <f>IF(HAF[[#This Row],[Program]]="Housing Accelerator Fund", "Round One", "Round Two")</f>
        <v>Round One</v>
      </c>
      <c r="C164" s="14" t="s">
        <v>175</v>
      </c>
      <c r="D164" s="14" t="s">
        <v>170</v>
      </c>
      <c r="E164" s="14" t="s">
        <v>10</v>
      </c>
      <c r="F164" s="14" t="s">
        <v>11</v>
      </c>
      <c r="G164" s="15">
        <v>45327</v>
      </c>
      <c r="H164" s="15" t="str">
        <f>MID(HAF[[#This Row],[Client Program Name]], SEARCH( "-",HAF[[#This Row],[Client Program Name]])+1,LEN(HAF[[#This Row],[Client Program Name]])-(SEARCH( "-",HAF[[#This Row],[Client Program Name]])-1))</f>
        <v xml:space="preserve"> City of Thunder Bay</v>
      </c>
      <c r="I164" s="16">
        <v>22861059.5</v>
      </c>
      <c r="J164" s="16">
        <f>IF(ISNUMBER(MATCH(HAF[[#This Row],[Client Program Name]],Table6[Client Program],0)), VLOOKUP(HAF[[#This Row],[Client Program Name]],Table6[], 6, FALSE), 0 )</f>
        <v>20784060</v>
      </c>
      <c r="K164" s="16">
        <f>IF(ISNUMBER(MATCH(HAF[[#This Row],[Client Program Name]],Table6[Client Program],0)), VLOOKUP(HAF[[#This Row],[Client Program Name]],Table6[], 7, FALSE), VLOOKUP(HAF[[#This Row],[Client Program Name]],Table2[], 7, FALSE) )</f>
        <v>1043</v>
      </c>
      <c r="L164" s="16">
        <v>712</v>
      </c>
      <c r="M164" s="16">
        <f>IF(ISNUMBER(MATCH(HAF[[#This Row],[Client Program Name]],Table6[Client Program],0)), VLOOKUP(HAF[[#This Row],[Client Program Name]],Table6[], 9, FALSE), 0 )</f>
        <v>648</v>
      </c>
      <c r="N164" s="16">
        <f>IF(ISNUMBER(MATCH(HAF[[#This Row],[Client Program Name]],Table6[Client Program],0)), VLOOKUP(HAF[[#This Row],[Client Program Name]],Table6[], 10, FALSE), VLOOKUP(HAF[[#This Row],[Client Program Name]],Table2[], 8, FALSE) )</f>
        <v>1755</v>
      </c>
      <c r="O164" s="16">
        <v>7369</v>
      </c>
      <c r="P164" s="3"/>
      <c r="Q164" s="14"/>
    </row>
    <row r="165" spans="1:17" x14ac:dyDescent="0.35">
      <c r="A165" s="14" t="s">
        <v>248</v>
      </c>
      <c r="B165" s="14" t="str">
        <f>IF(HAF[[#This Row],[Program]]="Housing Accelerator Fund", "Round One", "Round Two")</f>
        <v>Round One</v>
      </c>
      <c r="C165" s="14" t="s">
        <v>176</v>
      </c>
      <c r="D165" s="14" t="s">
        <v>170</v>
      </c>
      <c r="E165" s="14" t="s">
        <v>10</v>
      </c>
      <c r="F165" s="14" t="s">
        <v>11</v>
      </c>
      <c r="G165" s="15">
        <v>45299</v>
      </c>
      <c r="H165" s="15" t="str">
        <f>MID(HAF[[#This Row],[Client Program Name]], SEARCH( "-",HAF[[#This Row],[Client Program Name]])+1,LEN(HAF[[#This Row],[Client Program Name]])-(SEARCH( "-",HAF[[#This Row],[Client Program Name]])-1))</f>
        <v xml:space="preserve"> Guelph</v>
      </c>
      <c r="I165" s="16">
        <v>21426140.199999999</v>
      </c>
      <c r="J165" s="16">
        <f>IF(ISNUMBER(MATCH(HAF[[#This Row],[Client Program Name]],Table6[Client Program],0)), VLOOKUP(HAF[[#This Row],[Client Program Name]],Table6[], 6, FALSE), 0 )</f>
        <v>21426140</v>
      </c>
      <c r="K165" s="16">
        <f>IF(ISNUMBER(MATCH(HAF[[#This Row],[Client Program Name]],Table6[Client Program],0)), VLOOKUP(HAF[[#This Row],[Client Program Name]],Table6[], 7, FALSE), VLOOKUP(HAF[[#This Row],[Client Program Name]],Table2[], 7, FALSE) )</f>
        <v>2918</v>
      </c>
      <c r="L165" s="16">
        <v>739</v>
      </c>
      <c r="M165" s="16">
        <f>IF(ISNUMBER(MATCH(HAF[[#This Row],[Client Program Name]],Table6[Client Program],0)), VLOOKUP(HAF[[#This Row],[Client Program Name]],Table6[], 9, FALSE), 0 )</f>
        <v>739</v>
      </c>
      <c r="N165" s="16">
        <f>IF(ISNUMBER(MATCH(HAF[[#This Row],[Client Program Name]],Table6[Client Program],0)), VLOOKUP(HAF[[#This Row],[Client Program Name]],Table6[], 10, FALSE), VLOOKUP(HAF[[#This Row],[Client Program Name]],Table2[], 8, FALSE) )</f>
        <v>3657</v>
      </c>
      <c r="O165" s="16">
        <v>9450</v>
      </c>
      <c r="P165" s="3"/>
      <c r="Q165" s="14"/>
    </row>
    <row r="166" spans="1:17" x14ac:dyDescent="0.35">
      <c r="A166" s="14" t="s">
        <v>248</v>
      </c>
      <c r="B166" s="14" t="str">
        <f>IF(HAF[[#This Row],[Program]]="Housing Accelerator Fund", "Round One", "Round Two")</f>
        <v>Round One</v>
      </c>
      <c r="C166" s="14" t="s">
        <v>182</v>
      </c>
      <c r="D166" s="14" t="s">
        <v>170</v>
      </c>
      <c r="E166" s="14" t="s">
        <v>10</v>
      </c>
      <c r="F166" s="14" t="s">
        <v>11</v>
      </c>
      <c r="G166" s="15">
        <v>45316</v>
      </c>
      <c r="H166" s="15" t="str">
        <f>MID(HAF[[#This Row],[Client Program Name]], SEARCH( "-",HAF[[#This Row],[Client Program Name]])+1,LEN(HAF[[#This Row],[Client Program Name]])-(SEARCH( "-",HAF[[#This Row],[Client Program Name]])-1))</f>
        <v xml:space="preserve"> Markham</v>
      </c>
      <c r="I166" s="16">
        <v>58842625</v>
      </c>
      <c r="J166" s="16">
        <f>IF(ISNUMBER(MATCH(HAF[[#This Row],[Client Program Name]],Table6[Client Program],0)), VLOOKUP(HAF[[#This Row],[Client Program Name]],Table6[], 6, FALSE), 0 )</f>
        <v>58842625</v>
      </c>
      <c r="K166" s="16">
        <f>IF(ISNUMBER(MATCH(HAF[[#This Row],[Client Program Name]],Table6[Client Program],0)), VLOOKUP(HAF[[#This Row],[Client Program Name]],Table6[], 7, FALSE), VLOOKUP(HAF[[#This Row],[Client Program Name]],Table2[], 7, FALSE) )</f>
        <v>6075</v>
      </c>
      <c r="L166" s="16">
        <v>1640</v>
      </c>
      <c r="M166" s="16">
        <f>IF(ISNUMBER(MATCH(HAF[[#This Row],[Client Program Name]],Table6[Client Program],0)), VLOOKUP(HAF[[#This Row],[Client Program Name]],Table6[], 9, FALSE), 0 )</f>
        <v>1640</v>
      </c>
      <c r="N166" s="16">
        <f>IF(ISNUMBER(MATCH(HAF[[#This Row],[Client Program Name]],Table6[Client Program],0)), VLOOKUP(HAF[[#This Row],[Client Program Name]],Table6[], 10, FALSE), VLOOKUP(HAF[[#This Row],[Client Program Name]],Table2[], 8, FALSE) )</f>
        <v>7715</v>
      </c>
      <c r="O166" s="16">
        <v>6635</v>
      </c>
      <c r="P166" s="3"/>
      <c r="Q166" s="14"/>
    </row>
    <row r="167" spans="1:17" x14ac:dyDescent="0.35">
      <c r="A167" s="14" t="s">
        <v>248</v>
      </c>
      <c r="B167" s="14" t="str">
        <f>IF(HAF[[#This Row],[Program]]="Housing Accelerator Fund", "Round One", "Round Two")</f>
        <v>Round One</v>
      </c>
      <c r="C167" s="14" t="s">
        <v>199</v>
      </c>
      <c r="D167" s="14" t="s">
        <v>170</v>
      </c>
      <c r="E167" s="14" t="s">
        <v>10</v>
      </c>
      <c r="F167" s="14" t="s">
        <v>11</v>
      </c>
      <c r="G167" s="15">
        <v>45291</v>
      </c>
      <c r="H167" s="15" t="str">
        <f>MID(HAF[[#This Row],[Client Program Name]], SEARCH( "-",HAF[[#This Row],[Client Program Name]])+1,LEN(HAF[[#This Row],[Client Program Name]])-(SEARCH( "-",HAF[[#This Row],[Client Program Name]])-1))</f>
        <v xml:space="preserve"> Town of Whitby</v>
      </c>
      <c r="I167" s="16">
        <v>24990434.5</v>
      </c>
      <c r="J167" s="16">
        <f>IF(ISNUMBER(MATCH(HAF[[#This Row],[Client Program Name]],Table6[Client Program],0)), VLOOKUP(HAF[[#This Row],[Client Program Name]],Table6[], 6, FALSE), 0 )</f>
        <v>24990435</v>
      </c>
      <c r="K167" s="16">
        <f>IF(ISNUMBER(MATCH(HAF[[#This Row],[Client Program Name]],Table6[Client Program],0)), VLOOKUP(HAF[[#This Row],[Client Program Name]],Table6[], 7, FALSE), VLOOKUP(HAF[[#This Row],[Client Program Name]],Table2[], 7, FALSE) )</f>
        <v>5279</v>
      </c>
      <c r="L167" s="16">
        <v>656</v>
      </c>
      <c r="M167" s="16">
        <f>IF(ISNUMBER(MATCH(HAF[[#This Row],[Client Program Name]],Table6[Client Program],0)), VLOOKUP(HAF[[#This Row],[Client Program Name]],Table6[], 9, FALSE), 0 )</f>
        <v>656</v>
      </c>
      <c r="N167" s="16">
        <f>IF(ISNUMBER(MATCH(HAF[[#This Row],[Client Program Name]],Table6[Client Program],0)), VLOOKUP(HAF[[#This Row],[Client Program Name]],Table6[], 10, FALSE), VLOOKUP(HAF[[#This Row],[Client Program Name]],Table2[], 8, FALSE) )</f>
        <v>5935</v>
      </c>
      <c r="O167" s="16">
        <v>18030</v>
      </c>
      <c r="P167" s="3"/>
      <c r="Q167" s="14"/>
    </row>
    <row r="168" spans="1:17" x14ac:dyDescent="0.35">
      <c r="A168" s="14" t="s">
        <v>248</v>
      </c>
      <c r="B168" s="14" t="str">
        <f>IF(HAF[[#This Row],[Program]]="Housing Accelerator Fund", "Round One", "Round Two")</f>
        <v>Round One</v>
      </c>
      <c r="C168" s="14" t="s">
        <v>193</v>
      </c>
      <c r="D168" s="14" t="s">
        <v>170</v>
      </c>
      <c r="E168" s="14" t="s">
        <v>10</v>
      </c>
      <c r="F168" s="14" t="s">
        <v>11</v>
      </c>
      <c r="G168" s="15">
        <v>45301</v>
      </c>
      <c r="H168" s="15" t="str">
        <f>MID(HAF[[#This Row],[Client Program Name]], SEARCH( "-",HAF[[#This Row],[Client Program Name]])+1,LEN(HAF[[#This Row],[Client Program Name]])-(SEARCH( "-",HAF[[#This Row],[Client Program Name]])-1))</f>
        <v xml:space="preserve"> St. Catharines</v>
      </c>
      <c r="I168" s="16">
        <v>25684483.800000001</v>
      </c>
      <c r="J168" s="16">
        <f>IF(ISNUMBER(MATCH(HAF[[#This Row],[Client Program Name]],Table6[Client Program],0)), VLOOKUP(HAF[[#This Row],[Client Program Name]],Table6[], 6, FALSE), 0 )</f>
        <v>25684484</v>
      </c>
      <c r="K168" s="16">
        <f>IF(ISNUMBER(MATCH(HAF[[#This Row],[Client Program Name]],Table6[Client Program],0)), VLOOKUP(HAF[[#This Row],[Client Program Name]],Table6[], 7, FALSE), VLOOKUP(HAF[[#This Row],[Client Program Name]],Table2[], 7, FALSE) )</f>
        <v>1684</v>
      </c>
      <c r="L168" s="16">
        <v>698</v>
      </c>
      <c r="M168" s="16">
        <f>IF(ISNUMBER(MATCH(HAF[[#This Row],[Client Program Name]],Table6[Client Program],0)), VLOOKUP(HAF[[#This Row],[Client Program Name]],Table6[], 9, FALSE), 0 )</f>
        <v>698</v>
      </c>
      <c r="N168" s="16">
        <f>IF(ISNUMBER(MATCH(HAF[[#This Row],[Client Program Name]],Table6[Client Program],0)), VLOOKUP(HAF[[#This Row],[Client Program Name]],Table6[], 10, FALSE), VLOOKUP(HAF[[#This Row],[Client Program Name]],Table2[], 8, FALSE) )</f>
        <v>2382</v>
      </c>
      <c r="O168" s="16">
        <v>12417</v>
      </c>
      <c r="P168" s="3"/>
      <c r="Q168" s="14"/>
    </row>
    <row r="169" spans="1:17" x14ac:dyDescent="0.35">
      <c r="A169" s="14" t="s">
        <v>248</v>
      </c>
      <c r="B169" s="14" t="str">
        <f>IF(HAF[[#This Row],[Program]]="Housing Accelerator Fund", "Round One", "Round Two")</f>
        <v>Round One</v>
      </c>
      <c r="C169" s="14" t="s">
        <v>197</v>
      </c>
      <c r="D169" s="14" t="s">
        <v>170</v>
      </c>
      <c r="E169" s="14" t="s">
        <v>10</v>
      </c>
      <c r="F169" s="14" t="s">
        <v>11</v>
      </c>
      <c r="G169" s="15">
        <v>45278</v>
      </c>
      <c r="H169" s="15" t="str">
        <f>MID(HAF[[#This Row],[Client Program Name]], SEARCH( "-",HAF[[#This Row],[Client Program Name]])+1,LEN(HAF[[#This Row],[Client Program Name]])-(SEARCH( "-",HAF[[#This Row],[Client Program Name]])-1))</f>
        <v xml:space="preserve"> Town of Ajax</v>
      </c>
      <c r="I169" s="16">
        <v>21976915.600000001</v>
      </c>
      <c r="J169" s="16">
        <f>IF(ISNUMBER(MATCH(HAF[[#This Row],[Client Program Name]],Table6[Client Program],0)), VLOOKUP(HAF[[#This Row],[Client Program Name]],Table6[], 6, FALSE), 0 )</f>
        <v>21976916</v>
      </c>
      <c r="K169" s="16">
        <f>IF(ISNUMBER(MATCH(HAF[[#This Row],[Client Program Name]],Table6[Client Program],0)), VLOOKUP(HAF[[#This Row],[Client Program Name]],Table6[], 7, FALSE), VLOOKUP(HAF[[#This Row],[Client Program Name]],Table2[], 7, FALSE) )</f>
        <v>3029</v>
      </c>
      <c r="L169" s="16">
        <v>584</v>
      </c>
      <c r="M169" s="16">
        <f>IF(ISNUMBER(MATCH(HAF[[#This Row],[Client Program Name]],Table6[Client Program],0)), VLOOKUP(HAF[[#This Row],[Client Program Name]],Table6[], 9, FALSE), 0 )</f>
        <v>584</v>
      </c>
      <c r="N169" s="16">
        <f>IF(ISNUMBER(MATCH(HAF[[#This Row],[Client Program Name]],Table6[Client Program],0)), VLOOKUP(HAF[[#This Row],[Client Program Name]],Table6[], 10, FALSE), VLOOKUP(HAF[[#This Row],[Client Program Name]],Table2[], 8, FALSE) )</f>
        <v>3613</v>
      </c>
      <c r="O169" s="16">
        <v>10713</v>
      </c>
      <c r="P169" s="3"/>
      <c r="Q169" s="14"/>
    </row>
    <row r="170" spans="1:17" x14ac:dyDescent="0.35">
      <c r="A170" s="14" t="s">
        <v>248</v>
      </c>
      <c r="B170" s="14" t="str">
        <f>IF(HAF[[#This Row],[Program]]="Housing Accelerator Fund", "Round One", "Round Two")</f>
        <v>Round One</v>
      </c>
      <c r="C170" s="14" t="s">
        <v>204</v>
      </c>
      <c r="D170" s="14" t="s">
        <v>170</v>
      </c>
      <c r="E170" s="14" t="s">
        <v>10</v>
      </c>
      <c r="F170" s="14" t="s">
        <v>11</v>
      </c>
      <c r="G170" s="15">
        <v>45273</v>
      </c>
      <c r="H170" s="15" t="str">
        <f>MID(HAF[[#This Row],[Client Program Name]], SEARCH( "-",HAF[[#This Row],[Client Program Name]])+1,LEN(HAF[[#This Row],[Client Program Name]])-(SEARCH( "-",HAF[[#This Row],[Client Program Name]])-1))</f>
        <v xml:space="preserve"> Waterloo</v>
      </c>
      <c r="I170" s="16">
        <v>23443104</v>
      </c>
      <c r="J170" s="16">
        <f>IF(ISNUMBER(MATCH(HAF[[#This Row],[Client Program Name]],Table6[Client Program],0)), VLOOKUP(HAF[[#This Row],[Client Program Name]],Table6[], 6, FALSE), 0 )</f>
        <v>22093104</v>
      </c>
      <c r="K170" s="16">
        <f>IF(ISNUMBER(MATCH(HAF[[#This Row],[Client Program Name]],Table6[Client Program],0)), VLOOKUP(HAF[[#This Row],[Client Program Name]],Table6[], 7, FALSE), VLOOKUP(HAF[[#This Row],[Client Program Name]],Table2[], 7, FALSE) )</f>
        <v>3670</v>
      </c>
      <c r="L170" s="16">
        <v>675</v>
      </c>
      <c r="M170" s="16">
        <f>IF(ISNUMBER(MATCH(HAF[[#This Row],[Client Program Name]],Table6[Client Program],0)), VLOOKUP(HAF[[#This Row],[Client Program Name]],Table6[], 9, FALSE), 0 )</f>
        <v>650</v>
      </c>
      <c r="N170" s="16">
        <f>IF(ISNUMBER(MATCH(HAF[[#This Row],[Client Program Name]],Table6[Client Program],0)), VLOOKUP(HAF[[#This Row],[Client Program Name]],Table6[], 10, FALSE), VLOOKUP(HAF[[#This Row],[Client Program Name]],Table2[], 8, FALSE) )</f>
        <v>4345</v>
      </c>
      <c r="O170" s="16">
        <v>15591</v>
      </c>
      <c r="P170" s="3"/>
      <c r="Q170" s="14"/>
    </row>
    <row r="171" spans="1:17" x14ac:dyDescent="0.35">
      <c r="A171" s="14" t="s">
        <v>248</v>
      </c>
      <c r="B171" s="14" t="str">
        <f>IF(HAF[[#This Row],[Program]]="Housing Accelerator Fund", "Round One", "Round Two")</f>
        <v>Round One</v>
      </c>
      <c r="C171" s="14" t="s">
        <v>202</v>
      </c>
      <c r="D171" s="14" t="s">
        <v>170</v>
      </c>
      <c r="E171" s="14" t="s">
        <v>10</v>
      </c>
      <c r="F171" s="14" t="s">
        <v>11</v>
      </c>
      <c r="G171" s="15">
        <v>45203</v>
      </c>
      <c r="H171" s="15" t="str">
        <f>MID(HAF[[#This Row],[Client Program Name]], SEARCH( "-",HAF[[#This Row],[Client Program Name]])+1,LEN(HAF[[#This Row],[Client Program Name]])-(SEARCH( "-",HAF[[#This Row],[Client Program Name]])-1))</f>
        <v xml:space="preserve"> Vaughan</v>
      </c>
      <c r="I171" s="16">
        <v>59153675</v>
      </c>
      <c r="J171" s="16">
        <f>IF(ISNUMBER(MATCH(HAF[[#This Row],[Client Program Name]],Table6[Client Program],0)), VLOOKUP(HAF[[#This Row],[Client Program Name]],Table6[], 6, FALSE), 0 )</f>
        <v>59153675</v>
      </c>
      <c r="K171" s="16">
        <f>IF(ISNUMBER(MATCH(HAF[[#This Row],[Client Program Name]],Table6[Client Program],0)), VLOOKUP(HAF[[#This Row],[Client Program Name]],Table6[], 7, FALSE), VLOOKUP(HAF[[#This Row],[Client Program Name]],Table2[], 7, FALSE) )</f>
        <v>8382</v>
      </c>
      <c r="L171" s="16">
        <v>1731</v>
      </c>
      <c r="M171" s="16">
        <f>IF(ISNUMBER(MATCH(HAF[[#This Row],[Client Program Name]],Table6[Client Program],0)), VLOOKUP(HAF[[#This Row],[Client Program Name]],Table6[], 9, FALSE), 0 )</f>
        <v>1731</v>
      </c>
      <c r="N171" s="16">
        <f>IF(ISNUMBER(MATCH(HAF[[#This Row],[Client Program Name]],Table6[Client Program],0)), VLOOKUP(HAF[[#This Row],[Client Program Name]],Table6[], 10, FALSE), VLOOKUP(HAF[[#This Row],[Client Program Name]],Table2[], 8, FALSE) )</f>
        <v>10113</v>
      </c>
      <c r="O171" s="16">
        <v>43999</v>
      </c>
      <c r="P171" s="3"/>
      <c r="Q171" s="14"/>
    </row>
    <row r="172" spans="1:17" x14ac:dyDescent="0.35">
      <c r="A172" s="14" t="s">
        <v>248</v>
      </c>
      <c r="B172" s="14" t="str">
        <f>IF(HAF[[#This Row],[Program]]="Housing Accelerator Fund", "Round One", "Round Two")</f>
        <v>Round One</v>
      </c>
      <c r="C172" s="14" t="s">
        <v>174</v>
      </c>
      <c r="D172" s="14" t="s">
        <v>170</v>
      </c>
      <c r="E172" s="14" t="s">
        <v>10</v>
      </c>
      <c r="F172" s="14" t="s">
        <v>11</v>
      </c>
      <c r="G172" s="15">
        <v>45272</v>
      </c>
      <c r="H172" s="15" t="str">
        <f>MID(HAF[[#This Row],[Client Program Name]], SEARCH( "-",HAF[[#This Row],[Client Program Name]])+1,LEN(HAF[[#This Row],[Client Program Name]])-(SEARCH( "-",HAF[[#This Row],[Client Program Name]])-1))</f>
        <v xml:space="preserve"> City of Kingston</v>
      </c>
      <c r="I172" s="16">
        <v>27550302</v>
      </c>
      <c r="J172" s="16">
        <f>IF(ISNUMBER(MATCH(HAF[[#This Row],[Client Program Name]],Table6[Client Program],0)), VLOOKUP(HAF[[#This Row],[Client Program Name]],Table6[], 6, FALSE), 0 )</f>
        <v>27550302</v>
      </c>
      <c r="K172" s="16">
        <f>IF(ISNUMBER(MATCH(HAF[[#This Row],[Client Program Name]],Table6[Client Program],0)), VLOOKUP(HAF[[#This Row],[Client Program Name]],Table6[], 7, FALSE), VLOOKUP(HAF[[#This Row],[Client Program Name]],Table2[], 7, FALSE) )</f>
        <v>3850</v>
      </c>
      <c r="L172" s="16">
        <v>890</v>
      </c>
      <c r="M172" s="16">
        <f>IF(ISNUMBER(MATCH(HAF[[#This Row],[Client Program Name]],Table6[Client Program],0)), VLOOKUP(HAF[[#This Row],[Client Program Name]],Table6[], 9, FALSE), 0 )</f>
        <v>890</v>
      </c>
      <c r="N172" s="16">
        <f>IF(ISNUMBER(MATCH(HAF[[#This Row],[Client Program Name]],Table6[Client Program],0)), VLOOKUP(HAF[[#This Row],[Client Program Name]],Table6[], 10, FALSE), VLOOKUP(HAF[[#This Row],[Client Program Name]],Table2[], 8, FALSE) )</f>
        <v>4740</v>
      </c>
      <c r="O172" s="16">
        <v>4867</v>
      </c>
      <c r="P172" s="3"/>
      <c r="Q172" s="14"/>
    </row>
    <row r="173" spans="1:17" x14ac:dyDescent="0.35">
      <c r="A173" s="14" t="s">
        <v>248</v>
      </c>
      <c r="B173" s="14" t="str">
        <f>IF(HAF[[#This Row],[Program]]="Housing Accelerator Fund", "Round One", "Round Two")</f>
        <v>Round One</v>
      </c>
      <c r="C173" s="14" t="s">
        <v>194</v>
      </c>
      <c r="D173" s="14" t="s">
        <v>170</v>
      </c>
      <c r="E173" s="14" t="s">
        <v>10</v>
      </c>
      <c r="F173" s="14" t="s">
        <v>11</v>
      </c>
      <c r="G173" s="15">
        <v>45302</v>
      </c>
      <c r="H173" s="15" t="str">
        <f>MID(HAF[[#This Row],[Client Program Name]], SEARCH( "-",HAF[[#This Row],[Client Program Name]])+1,LEN(HAF[[#This Row],[Client Program Name]])-(SEARCH( "-",HAF[[#This Row],[Client Program Name]])-1))</f>
        <v xml:space="preserve"> The Corporation of the City of Burlington</v>
      </c>
      <c r="I173" s="16">
        <v>21156284.600000001</v>
      </c>
      <c r="J173" s="16">
        <f>IF(ISNUMBER(MATCH(HAF[[#This Row],[Client Program Name]],Table6[Client Program],0)), VLOOKUP(HAF[[#This Row],[Client Program Name]],Table6[], 6, FALSE), 0 )</f>
        <v>21156285</v>
      </c>
      <c r="K173" s="16">
        <f>IF(ISNUMBER(MATCH(HAF[[#This Row],[Client Program Name]],Table6[Client Program],0)), VLOOKUP(HAF[[#This Row],[Client Program Name]],Table6[], 7, FALSE), VLOOKUP(HAF[[#This Row],[Client Program Name]],Table2[], 7, FALSE) )</f>
        <v>2106</v>
      </c>
      <c r="L173" s="16">
        <v>618</v>
      </c>
      <c r="M173" s="16">
        <f>IF(ISNUMBER(MATCH(HAF[[#This Row],[Client Program Name]],Table6[Client Program],0)), VLOOKUP(HAF[[#This Row],[Client Program Name]],Table6[], 9, FALSE), 0 )</f>
        <v>618</v>
      </c>
      <c r="N173" s="16">
        <f>IF(ISNUMBER(MATCH(HAF[[#This Row],[Client Program Name]],Table6[Client Program],0)), VLOOKUP(HAF[[#This Row],[Client Program Name]],Table6[], 10, FALSE), VLOOKUP(HAF[[#This Row],[Client Program Name]],Table2[], 8, FALSE) )</f>
        <v>2724</v>
      </c>
      <c r="O173" s="16">
        <v>5335</v>
      </c>
      <c r="P173" s="3"/>
      <c r="Q173" s="14"/>
    </row>
    <row r="174" spans="1:17" x14ac:dyDescent="0.35">
      <c r="A174" s="14" t="s">
        <v>248</v>
      </c>
      <c r="B174" s="14" t="str">
        <f>IF(HAF[[#This Row],[Program]]="Housing Accelerator Fund", "Round One", "Round Two")</f>
        <v>Round One</v>
      </c>
      <c r="C174" s="14" t="s">
        <v>195</v>
      </c>
      <c r="D174" s="14" t="s">
        <v>170</v>
      </c>
      <c r="E174" s="14" t="s">
        <v>10</v>
      </c>
      <c r="F174" s="14" t="s">
        <v>11</v>
      </c>
      <c r="G174" s="15">
        <v>45337</v>
      </c>
      <c r="H174" s="15" t="str">
        <f>MID(HAF[[#This Row],[Client Program Name]], SEARCH( "-",HAF[[#This Row],[Client Program Name]])+1,LEN(HAF[[#This Row],[Client Program Name]])-(SEARCH( "-",HAF[[#This Row],[Client Program Name]])-1))</f>
        <v xml:space="preserve"> The Corporation of the Town of Tecumseh</v>
      </c>
      <c r="I174" s="16">
        <v>4383110.4000000004</v>
      </c>
      <c r="J174" s="16">
        <f>IF(ISNUMBER(MATCH(HAF[[#This Row],[Client Program Name]],Table6[Client Program],0)), VLOOKUP(HAF[[#This Row],[Client Program Name]],Table6[], 6, FALSE), 0 )</f>
        <v>4383110</v>
      </c>
      <c r="K174" s="16">
        <f>IF(ISNUMBER(MATCH(HAF[[#This Row],[Client Program Name]],Table6[Client Program],0)), VLOOKUP(HAF[[#This Row],[Client Program Name]],Table6[], 7, FALSE), VLOOKUP(HAF[[#This Row],[Client Program Name]],Table2[], 7, FALSE) )</f>
        <v>327</v>
      </c>
      <c r="L174" s="16">
        <v>137</v>
      </c>
      <c r="M174" s="16">
        <f>IF(ISNUMBER(MATCH(HAF[[#This Row],[Client Program Name]],Table6[Client Program],0)), VLOOKUP(HAF[[#This Row],[Client Program Name]],Table6[], 9, FALSE), 0 )</f>
        <v>137</v>
      </c>
      <c r="N174" s="16">
        <f>IF(ISNUMBER(MATCH(HAF[[#This Row],[Client Program Name]],Table6[Client Program],0)), VLOOKUP(HAF[[#This Row],[Client Program Name]],Table6[], 10, FALSE), VLOOKUP(HAF[[#This Row],[Client Program Name]],Table2[], 8, FALSE) )</f>
        <v>464</v>
      </c>
      <c r="O174" s="16">
        <v>5850</v>
      </c>
      <c r="P174" s="3"/>
      <c r="Q174" s="14"/>
    </row>
    <row r="175" spans="1:17" x14ac:dyDescent="0.35">
      <c r="A175" s="14" t="s">
        <v>248</v>
      </c>
      <c r="B175" s="14" t="str">
        <f>IF(HAF[[#This Row],[Program]]="Housing Accelerator Fund", "Round One", "Round Two")</f>
        <v>Round One</v>
      </c>
      <c r="C175" s="14" t="s">
        <v>186</v>
      </c>
      <c r="D175" s="14" t="s">
        <v>170</v>
      </c>
      <c r="E175" s="14" t="s">
        <v>10</v>
      </c>
      <c r="F175" s="14" t="s">
        <v>11</v>
      </c>
      <c r="G175" s="15">
        <v>45321</v>
      </c>
      <c r="H175" s="15" t="str">
        <f>MID(HAF[[#This Row],[Client Program Name]], SEARCH( "-",HAF[[#This Row],[Client Program Name]])+1,LEN(HAF[[#This Row],[Client Program Name]])-(SEARCH( "-",HAF[[#This Row],[Client Program Name]])-1))</f>
        <v xml:space="preserve"> Municipality of North Grenville</v>
      </c>
      <c r="I175" s="16">
        <v>5234207</v>
      </c>
      <c r="J175" s="16">
        <f>IF(ISNUMBER(MATCH(HAF[[#This Row],[Client Program Name]],Table6[Client Program],0)), VLOOKUP(HAF[[#This Row],[Client Program Name]],Table6[], 6, FALSE), 0 )</f>
        <v>5234207</v>
      </c>
      <c r="K175" s="16">
        <f>IF(ISNUMBER(MATCH(HAF[[#This Row],[Client Program Name]],Table6[Client Program],0)), VLOOKUP(HAF[[#This Row],[Client Program Name]],Table6[], 7, FALSE), VLOOKUP(HAF[[#This Row],[Client Program Name]],Table2[], 7, FALSE) )</f>
        <v>501</v>
      </c>
      <c r="L175" s="16">
        <v>170</v>
      </c>
      <c r="M175" s="16">
        <f>IF(ISNUMBER(MATCH(HAF[[#This Row],[Client Program Name]],Table6[Client Program],0)), VLOOKUP(HAF[[#This Row],[Client Program Name]],Table6[], 9, FALSE), 0 )</f>
        <v>170</v>
      </c>
      <c r="N175" s="16">
        <f>IF(ISNUMBER(MATCH(HAF[[#This Row],[Client Program Name]],Table6[Client Program],0)), VLOOKUP(HAF[[#This Row],[Client Program Name]],Table6[], 10, FALSE), VLOOKUP(HAF[[#This Row],[Client Program Name]],Table2[], 8, FALSE) )</f>
        <v>671</v>
      </c>
      <c r="O175" s="16">
        <v>1700</v>
      </c>
      <c r="P175" s="3"/>
      <c r="Q175" s="14"/>
    </row>
    <row r="176" spans="1:17" x14ac:dyDescent="0.35">
      <c r="A176" s="14" t="s">
        <v>248</v>
      </c>
      <c r="B176" s="14" t="str">
        <f>IF(HAF[[#This Row],[Program]]="Housing Accelerator Fund", "Round One", "Round Two")</f>
        <v>Round One</v>
      </c>
      <c r="C176" s="14" t="s">
        <v>180</v>
      </c>
      <c r="D176" s="14" t="s">
        <v>170</v>
      </c>
      <c r="E176" s="14" t="s">
        <v>10</v>
      </c>
      <c r="F176" s="14" t="s">
        <v>11</v>
      </c>
      <c r="G176" s="15">
        <v>45177</v>
      </c>
      <c r="H176" s="15" t="str">
        <f>MID(HAF[[#This Row],[Client Program Name]], SEARCH( "-",HAF[[#This Row],[Client Program Name]])+1,LEN(HAF[[#This Row],[Client Program Name]])-(SEARCH( "-",HAF[[#This Row],[Client Program Name]])-1))</f>
        <v xml:space="preserve"> London</v>
      </c>
      <c r="I176" s="16">
        <v>81449143</v>
      </c>
      <c r="J176" s="16">
        <f>IF(ISNUMBER(MATCH(HAF[[#This Row],[Client Program Name]],Table6[Client Program],0)), VLOOKUP(HAF[[#This Row],[Client Program Name]],Table6[], 6, FALSE), 0 )</f>
        <v>74058143</v>
      </c>
      <c r="K176" s="16">
        <f>IF(ISNUMBER(MATCH(HAF[[#This Row],[Client Program Name]],Table6[Client Program],0)), VLOOKUP(HAF[[#This Row],[Client Program Name]],Table6[], 7, FALSE), VLOOKUP(HAF[[#This Row],[Client Program Name]],Table2[], 7, FALSE) )</f>
        <v>9432</v>
      </c>
      <c r="L176" s="16">
        <v>2371</v>
      </c>
      <c r="M176" s="16">
        <f>IF(ISNUMBER(MATCH(HAF[[#This Row],[Client Program Name]],Table6[Client Program],0)), VLOOKUP(HAF[[#This Row],[Client Program Name]],Table6[], 9, FALSE), 0 )</f>
        <v>2187</v>
      </c>
      <c r="N176" s="16">
        <f>IF(ISNUMBER(MATCH(HAF[[#This Row],[Client Program Name]],Table6[Client Program],0)), VLOOKUP(HAF[[#This Row],[Client Program Name]],Table6[], 10, FALSE), VLOOKUP(HAF[[#This Row],[Client Program Name]],Table2[], 8, FALSE) )</f>
        <v>11803</v>
      </c>
      <c r="O176" s="16">
        <v>11155</v>
      </c>
      <c r="P176" s="3"/>
      <c r="Q176" s="14"/>
    </row>
    <row r="177" spans="1:17" x14ac:dyDescent="0.35">
      <c r="A177" s="14" t="s">
        <v>248</v>
      </c>
      <c r="B177" s="14" t="str">
        <f>IF(HAF[[#This Row],[Program]]="Housing Accelerator Fund", "Round One", "Round Two")</f>
        <v>Round One</v>
      </c>
      <c r="C177" s="14" t="s">
        <v>177</v>
      </c>
      <c r="D177" s="14" t="s">
        <v>170</v>
      </c>
      <c r="E177" s="14" t="s">
        <v>10</v>
      </c>
      <c r="F177" s="14" t="s">
        <v>11</v>
      </c>
      <c r="G177" s="15">
        <v>45203</v>
      </c>
      <c r="H177" s="15" t="str">
        <f>MID(HAF[[#This Row],[Client Program Name]], SEARCH( "-",HAF[[#This Row],[Client Program Name]])+1,LEN(HAF[[#This Row],[Client Program Name]])-(SEARCH( "-",HAF[[#This Row],[Client Program Name]])-1))</f>
        <v xml:space="preserve"> Hamilton</v>
      </c>
      <c r="I177" s="16">
        <v>93540000</v>
      </c>
      <c r="J177" s="16">
        <f>IF(ISNUMBER(MATCH(HAF[[#This Row],[Client Program Name]],Table6[Client Program],0)), VLOOKUP(HAF[[#This Row],[Client Program Name]],Table6[], 6, FALSE), 0 )</f>
        <v>93540000</v>
      </c>
      <c r="K177" s="16">
        <f>IF(ISNUMBER(MATCH(HAF[[#This Row],[Client Program Name]],Table6[Client Program],0)), VLOOKUP(HAF[[#This Row],[Client Program Name]],Table6[], 7, FALSE), VLOOKUP(HAF[[#This Row],[Client Program Name]],Table2[], 7, FALSE) )</f>
        <v>9227</v>
      </c>
      <c r="L177" s="16">
        <v>2675</v>
      </c>
      <c r="M177" s="16">
        <f>IF(ISNUMBER(MATCH(HAF[[#This Row],[Client Program Name]],Table6[Client Program],0)), VLOOKUP(HAF[[#This Row],[Client Program Name]],Table6[], 9, FALSE), 0 )</f>
        <v>2675</v>
      </c>
      <c r="N177" s="16">
        <f>IF(ISNUMBER(MATCH(HAF[[#This Row],[Client Program Name]],Table6[Client Program],0)), VLOOKUP(HAF[[#This Row],[Client Program Name]],Table6[], 10, FALSE), VLOOKUP(HAF[[#This Row],[Client Program Name]],Table2[], 8, FALSE) )</f>
        <v>11902</v>
      </c>
      <c r="O177" s="16">
        <v>9000</v>
      </c>
      <c r="P177" s="3"/>
      <c r="Q177" s="14"/>
    </row>
    <row r="178" spans="1:17" x14ac:dyDescent="0.35">
      <c r="A178" s="14" t="s">
        <v>248</v>
      </c>
      <c r="B178" s="14" t="str">
        <f>IF(HAF[[#This Row],[Program]]="Housing Accelerator Fund", "Round One", "Round Two")</f>
        <v>Round One</v>
      </c>
      <c r="C178" s="14" t="s">
        <v>196</v>
      </c>
      <c r="D178" s="14" t="s">
        <v>170</v>
      </c>
      <c r="E178" s="14" t="s">
        <v>10</v>
      </c>
      <c r="F178" s="14" t="s">
        <v>11</v>
      </c>
      <c r="G178" s="15">
        <v>45280</v>
      </c>
      <c r="H178" s="15" t="str">
        <f>MID(HAF[[#This Row],[Client Program Name]], SEARCH( "-",HAF[[#This Row],[Client Program Name]])+1,LEN(HAF[[#This Row],[Client Program Name]])-(SEARCH( "-",HAF[[#This Row],[Client Program Name]])-1))</f>
        <v xml:space="preserve"> Toronto</v>
      </c>
      <c r="I178" s="16">
        <v>471109960</v>
      </c>
      <c r="J178" s="16">
        <f>IF(ISNUMBER(MATCH(HAF[[#This Row],[Client Program Name]],Table6[Client Program],0)), VLOOKUP(HAF[[#This Row],[Client Program Name]],Table6[], 6, FALSE), 0 )</f>
        <v>471109960</v>
      </c>
      <c r="K178" s="16">
        <f>IF(ISNUMBER(MATCH(HAF[[#This Row],[Client Program Name]],Table6[Client Program],0)), VLOOKUP(HAF[[#This Row],[Client Program Name]],Table6[], 7, FALSE), VLOOKUP(HAF[[#This Row],[Client Program Name]],Table2[], 7, FALSE) )</f>
        <v>49200</v>
      </c>
      <c r="L178" s="16">
        <v>11780</v>
      </c>
      <c r="M178" s="16">
        <f>IF(ISNUMBER(MATCH(HAF[[#This Row],[Client Program Name]],Table6[Client Program],0)), VLOOKUP(HAF[[#This Row],[Client Program Name]],Table6[], 9, FALSE), 0 )</f>
        <v>11780</v>
      </c>
      <c r="N178" s="16">
        <f>IF(ISNUMBER(MATCH(HAF[[#This Row],[Client Program Name]],Table6[Client Program],0)), VLOOKUP(HAF[[#This Row],[Client Program Name]],Table6[], 10, FALSE), VLOOKUP(HAF[[#This Row],[Client Program Name]],Table2[], 8, FALSE) )</f>
        <v>60980</v>
      </c>
      <c r="O178" s="16">
        <v>53000</v>
      </c>
      <c r="P178" s="3"/>
      <c r="Q178" s="14"/>
    </row>
    <row r="179" spans="1:17" x14ac:dyDescent="0.35">
      <c r="A179" s="14" t="s">
        <v>248</v>
      </c>
      <c r="B179" s="14" t="str">
        <f>IF(HAF[[#This Row],[Program]]="Housing Accelerator Fund", "Round One", "Round Two")</f>
        <v>Round One</v>
      </c>
      <c r="C179" s="14" t="s">
        <v>172</v>
      </c>
      <c r="D179" s="14" t="s">
        <v>170</v>
      </c>
      <c r="E179" s="14" t="s">
        <v>10</v>
      </c>
      <c r="F179" s="14" t="s">
        <v>11</v>
      </c>
      <c r="G179" s="15">
        <v>45329</v>
      </c>
      <c r="H179" s="15" t="str">
        <f>MID(HAF[[#This Row],[Client Program Name]], SEARCH( "-",HAF[[#This Row],[Client Program Name]])+1,LEN(HAF[[#This Row],[Client Program Name]])-(SEARCH( "-",HAF[[#This Row],[Client Program Name]])-1))</f>
        <v xml:space="preserve"> City of Barrie</v>
      </c>
      <c r="I179" s="16">
        <v>25684990</v>
      </c>
      <c r="J179" s="16">
        <f>IF(ISNUMBER(MATCH(HAF[[#This Row],[Client Program Name]],Table6[Client Program],0)), VLOOKUP(HAF[[#This Row],[Client Program Name]],Table6[], 6, FALSE), 0 )</f>
        <v>25684990</v>
      </c>
      <c r="K179" s="16">
        <f>IF(ISNUMBER(MATCH(HAF[[#This Row],[Client Program Name]],Table6[Client Program],0)), VLOOKUP(HAF[[#This Row],[Client Program Name]],Table6[], 7, FALSE), VLOOKUP(HAF[[#This Row],[Client Program Name]],Table2[], 7, FALSE) )</f>
        <v>6137</v>
      </c>
      <c r="L179" s="16">
        <v>688</v>
      </c>
      <c r="M179" s="16">
        <f>IF(ISNUMBER(MATCH(HAF[[#This Row],[Client Program Name]],Table6[Client Program],0)), VLOOKUP(HAF[[#This Row],[Client Program Name]],Table6[], 9, FALSE), 0 )</f>
        <v>688</v>
      </c>
      <c r="N179" s="16">
        <f>IF(ISNUMBER(MATCH(HAF[[#This Row],[Client Program Name]],Table6[Client Program],0)), VLOOKUP(HAF[[#This Row],[Client Program Name]],Table6[], 10, FALSE), VLOOKUP(HAF[[#This Row],[Client Program Name]],Table2[], 8, FALSE) )</f>
        <v>6825</v>
      </c>
      <c r="O179" s="16">
        <v>4100</v>
      </c>
      <c r="P179" s="3"/>
      <c r="Q179" s="14"/>
    </row>
    <row r="180" spans="1:17" x14ac:dyDescent="0.35">
      <c r="A180" s="14" t="s">
        <v>248</v>
      </c>
      <c r="B180" s="14" t="str">
        <f>IF(HAF[[#This Row],[Program]]="Housing Accelerator Fund", "Round One", "Round Two")</f>
        <v>Round One</v>
      </c>
      <c r="C180" s="14" t="s">
        <v>198</v>
      </c>
      <c r="D180" s="14" t="s">
        <v>170</v>
      </c>
      <c r="E180" s="14" t="s">
        <v>17</v>
      </c>
      <c r="F180" s="14" t="s">
        <v>11</v>
      </c>
      <c r="G180" s="15">
        <v>45322</v>
      </c>
      <c r="H180" s="15" t="str">
        <f>MID(HAF[[#This Row],[Client Program Name]], SEARCH( "-",HAF[[#This Row],[Client Program Name]])+1,LEN(HAF[[#This Row],[Client Program Name]])-(SEARCH( "-",HAF[[#This Row],[Client Program Name]])-1))</f>
        <v xml:space="preserve"> Town of Marathon</v>
      </c>
      <c r="I180" s="16">
        <v>1886886</v>
      </c>
      <c r="J180" s="16">
        <f>IF(ISNUMBER(MATCH(HAF[[#This Row],[Client Program Name]],Table6[Client Program],0)), VLOOKUP(HAF[[#This Row],[Client Program Name]],Table6[], 6, FALSE), 0 )</f>
        <v>1886886</v>
      </c>
      <c r="K180" s="16">
        <f>IF(ISNUMBER(MATCH(HAF[[#This Row],[Client Program Name]],Table6[Client Program],0)), VLOOKUP(HAF[[#This Row],[Client Program Name]],Table6[], 7, FALSE), VLOOKUP(HAF[[#This Row],[Client Program Name]],Table2[], 7, FALSE) )</f>
        <v>144</v>
      </c>
      <c r="L180" s="16">
        <v>66</v>
      </c>
      <c r="M180" s="16">
        <f>IF(ISNUMBER(MATCH(HAF[[#This Row],[Client Program Name]],Table6[Client Program],0)), VLOOKUP(HAF[[#This Row],[Client Program Name]],Table6[], 9, FALSE), 0 )</f>
        <v>66</v>
      </c>
      <c r="N180" s="16">
        <f>IF(ISNUMBER(MATCH(HAF[[#This Row],[Client Program Name]],Table6[Client Program],0)), VLOOKUP(HAF[[#This Row],[Client Program Name]],Table6[], 10, FALSE), VLOOKUP(HAF[[#This Row],[Client Program Name]],Table2[], 8, FALSE) )</f>
        <v>210</v>
      </c>
      <c r="O180" s="16">
        <v>305</v>
      </c>
      <c r="P180" s="3"/>
      <c r="Q180" s="14"/>
    </row>
    <row r="181" spans="1:17" x14ac:dyDescent="0.35">
      <c r="A181" s="14" t="s">
        <v>248</v>
      </c>
      <c r="B181" s="14" t="str">
        <f>IF(HAF[[#This Row],[Program]]="Housing Accelerator Fund", "Round One", "Round Two")</f>
        <v>Round One</v>
      </c>
      <c r="C181" s="14" t="s">
        <v>192</v>
      </c>
      <c r="D181" s="14" t="s">
        <v>170</v>
      </c>
      <c r="E181" s="14" t="s">
        <v>17</v>
      </c>
      <c r="F181" s="14" t="s">
        <v>18</v>
      </c>
      <c r="G181" s="15">
        <v>45321</v>
      </c>
      <c r="H181" s="15" t="str">
        <f>MID(HAF[[#This Row],[Client Program Name]], SEARCH( "-",HAF[[#This Row],[Client Program Name]])+1,LEN(HAF[[#This Row],[Client Program Name]])-(SEARCH( "-",HAF[[#This Row],[Client Program Name]])-1))</f>
        <v xml:space="preserve"> Shoal Lake No.40 First Nation</v>
      </c>
      <c r="I181" s="16">
        <v>2124000</v>
      </c>
      <c r="J181" s="16">
        <f>IF(ISNUMBER(MATCH(HAF[[#This Row],[Client Program Name]],Table6[Client Program],0)), VLOOKUP(HAF[[#This Row],[Client Program Name]],Table6[], 6, FALSE), 0 )</f>
        <v>2124000</v>
      </c>
      <c r="K181" s="16">
        <f>IF(ISNUMBER(MATCH(HAF[[#This Row],[Client Program Name]],Table6[Client Program],0)), VLOOKUP(HAF[[#This Row],[Client Program Name]],Table6[], 7, FALSE), VLOOKUP(HAF[[#This Row],[Client Program Name]],Table2[], 7, FALSE) )</f>
        <v>2</v>
      </c>
      <c r="L181" s="16">
        <v>36</v>
      </c>
      <c r="M181" s="16">
        <f>IF(ISNUMBER(MATCH(HAF[[#This Row],[Client Program Name]],Table6[Client Program],0)), VLOOKUP(HAF[[#This Row],[Client Program Name]],Table6[], 9, FALSE), 0 )</f>
        <v>36</v>
      </c>
      <c r="N181" s="16">
        <f>IF(ISNUMBER(MATCH(HAF[[#This Row],[Client Program Name]],Table6[Client Program],0)), VLOOKUP(HAF[[#This Row],[Client Program Name]],Table6[], 10, FALSE), VLOOKUP(HAF[[#This Row],[Client Program Name]],Table2[], 8, FALSE) )</f>
        <v>38</v>
      </c>
      <c r="O181" s="16">
        <v>135</v>
      </c>
      <c r="P181" s="3"/>
      <c r="Q181" s="14"/>
    </row>
    <row r="182" spans="1:17" x14ac:dyDescent="0.35">
      <c r="A182" s="14" t="s">
        <v>248</v>
      </c>
      <c r="B182" s="14" t="str">
        <f>IF(HAF[[#This Row],[Program]]="Housing Accelerator Fund", "Round One", "Round Two")</f>
        <v>Round One</v>
      </c>
      <c r="C182" s="14" t="s">
        <v>189</v>
      </c>
      <c r="D182" s="14" t="s">
        <v>170</v>
      </c>
      <c r="E182" s="14" t="s">
        <v>17</v>
      </c>
      <c r="F182" s="14" t="s">
        <v>18</v>
      </c>
      <c r="G182" s="15">
        <v>45314</v>
      </c>
      <c r="H182" s="15" t="str">
        <f>MID(HAF[[#This Row],[Client Program Name]], SEARCH( "-",HAF[[#This Row],[Client Program Name]])+1,LEN(HAF[[#This Row],[Client Program Name]])-(SEARCH( "-",HAF[[#This Row],[Client Program Name]])-1))</f>
        <v xml:space="preserve"> Red Rock Indian Band</v>
      </c>
      <c r="I182" s="16">
        <v>531000</v>
      </c>
      <c r="J182" s="16">
        <f>IF(ISNUMBER(MATCH(HAF[[#This Row],[Client Program Name]],Table6[Client Program],0)), VLOOKUP(HAF[[#This Row],[Client Program Name]],Table6[], 6, FALSE), 0 )</f>
        <v>531000</v>
      </c>
      <c r="K182" s="16">
        <f>IF(ISNUMBER(MATCH(HAF[[#This Row],[Client Program Name]],Table6[Client Program],0)), VLOOKUP(HAF[[#This Row],[Client Program Name]],Table6[], 7, FALSE), VLOOKUP(HAF[[#This Row],[Client Program Name]],Table2[], 7, FALSE) )</f>
        <v>8</v>
      </c>
      <c r="L182" s="16">
        <v>9</v>
      </c>
      <c r="M182" s="16">
        <f>IF(ISNUMBER(MATCH(HAF[[#This Row],[Client Program Name]],Table6[Client Program],0)), VLOOKUP(HAF[[#This Row],[Client Program Name]],Table6[], 9, FALSE), 0 )</f>
        <v>9</v>
      </c>
      <c r="N182" s="16">
        <f>IF(ISNUMBER(MATCH(HAF[[#This Row],[Client Program Name]],Table6[Client Program],0)), VLOOKUP(HAF[[#This Row],[Client Program Name]],Table6[], 10, FALSE), VLOOKUP(HAF[[#This Row],[Client Program Name]],Table2[], 8, FALSE) )</f>
        <v>17</v>
      </c>
      <c r="O182" s="16">
        <v>165</v>
      </c>
      <c r="P182" s="3"/>
      <c r="Q182" s="14"/>
    </row>
    <row r="183" spans="1:17" x14ac:dyDescent="0.35">
      <c r="A183" s="14" t="s">
        <v>248</v>
      </c>
      <c r="B183" s="14" t="str">
        <f>IF(HAF[[#This Row],[Program]]="Housing Accelerator Fund", "Round One", "Round Two")</f>
        <v>Round One</v>
      </c>
      <c r="C183" s="14" t="s">
        <v>169</v>
      </c>
      <c r="D183" s="14" t="s">
        <v>170</v>
      </c>
      <c r="E183" s="14" t="s">
        <v>17</v>
      </c>
      <c r="F183" s="14" t="s">
        <v>18</v>
      </c>
      <c r="G183" s="15">
        <v>45321</v>
      </c>
      <c r="H183" s="15" t="str">
        <f>MID(HAF[[#This Row],[Client Program Name]], SEARCH( "-",HAF[[#This Row],[Client Program Name]])+1,LEN(HAF[[#This Row],[Client Program Name]])-(SEARCH( "-",HAF[[#This Row],[Client Program Name]])-1))</f>
        <v xml:space="preserve"> Aroland First Nation</v>
      </c>
      <c r="I183" s="16">
        <v>2414000</v>
      </c>
      <c r="J183" s="16">
        <f>IF(ISNUMBER(MATCH(HAF[[#This Row],[Client Program Name]],Table6[Client Program],0)), VLOOKUP(HAF[[#This Row],[Client Program Name]],Table6[], 6, FALSE), 0 )</f>
        <v>2414000</v>
      </c>
      <c r="K183" s="16">
        <f>IF(ISNUMBER(MATCH(HAF[[#This Row],[Client Program Name]],Table6[Client Program],0)), VLOOKUP(HAF[[#This Row],[Client Program Name]],Table6[], 7, FALSE), VLOOKUP(HAF[[#This Row],[Client Program Name]],Table2[], 7, FALSE) )</f>
        <v>3</v>
      </c>
      <c r="L183" s="16">
        <v>34</v>
      </c>
      <c r="M183" s="16">
        <f>IF(ISNUMBER(MATCH(HAF[[#This Row],[Client Program Name]],Table6[Client Program],0)), VLOOKUP(HAF[[#This Row],[Client Program Name]],Table6[], 9, FALSE), 0 )</f>
        <v>34</v>
      </c>
      <c r="N183" s="16">
        <f>IF(ISNUMBER(MATCH(HAF[[#This Row],[Client Program Name]],Table6[Client Program],0)), VLOOKUP(HAF[[#This Row],[Client Program Name]],Table6[], 10, FALSE), VLOOKUP(HAF[[#This Row],[Client Program Name]],Table2[], 8, FALSE) )</f>
        <v>37</v>
      </c>
      <c r="O183" s="16">
        <v>140</v>
      </c>
      <c r="P183" s="3"/>
      <c r="Q183" s="14"/>
    </row>
    <row r="184" spans="1:17" x14ac:dyDescent="0.35">
      <c r="A184" s="14" t="s">
        <v>248</v>
      </c>
      <c r="B184" s="14" t="str">
        <f>IF(HAF[[#This Row],[Program]]="Housing Accelerator Fund", "Round One", "Round Two")</f>
        <v>Round One</v>
      </c>
      <c r="C184" s="14" t="s">
        <v>187</v>
      </c>
      <c r="D184" s="14" t="s">
        <v>170</v>
      </c>
      <c r="E184" s="14" t="s">
        <v>17</v>
      </c>
      <c r="F184" s="14" t="s">
        <v>18</v>
      </c>
      <c r="G184" s="15">
        <v>45322</v>
      </c>
      <c r="H184" s="15" t="str">
        <f>MID(HAF[[#This Row],[Client Program Name]], SEARCH( "-",HAF[[#This Row],[Client Program Name]])+1,LEN(HAF[[#This Row],[Client Program Name]])-(SEARCH( "-",HAF[[#This Row],[Client Program Name]])-1))</f>
        <v xml:space="preserve"> Muskrat Dam Lake First Nation</v>
      </c>
      <c r="I184" s="16">
        <v>1704000</v>
      </c>
      <c r="J184" s="16">
        <f>IF(ISNUMBER(MATCH(HAF[[#This Row],[Client Program Name]],Table6[Client Program],0)), VLOOKUP(HAF[[#This Row],[Client Program Name]],Table6[], 6, FALSE), 0 )</f>
        <v>1704000</v>
      </c>
      <c r="K184" s="16">
        <f>IF(ISNUMBER(MATCH(HAF[[#This Row],[Client Program Name]],Table6[Client Program],0)), VLOOKUP(HAF[[#This Row],[Client Program Name]],Table6[], 7, FALSE), VLOOKUP(HAF[[#This Row],[Client Program Name]],Table2[], 7, FALSE) )</f>
        <v>12</v>
      </c>
      <c r="L184" s="16">
        <v>24</v>
      </c>
      <c r="M184" s="16">
        <f>IF(ISNUMBER(MATCH(HAF[[#This Row],[Client Program Name]],Table6[Client Program],0)), VLOOKUP(HAF[[#This Row],[Client Program Name]],Table6[], 9, FALSE), 0 )</f>
        <v>24</v>
      </c>
      <c r="N184" s="16">
        <f>IF(ISNUMBER(MATCH(HAF[[#This Row],[Client Program Name]],Table6[Client Program],0)), VLOOKUP(HAF[[#This Row],[Client Program Name]],Table6[], 10, FALSE), VLOOKUP(HAF[[#This Row],[Client Program Name]],Table2[], 8, FALSE) )</f>
        <v>36</v>
      </c>
      <c r="O184" s="16">
        <v>382</v>
      </c>
      <c r="P184" s="3"/>
      <c r="Q184" s="14"/>
    </row>
    <row r="185" spans="1:17" x14ac:dyDescent="0.35">
      <c r="A185" s="14" t="s">
        <v>248</v>
      </c>
      <c r="B185" s="14" t="str">
        <f>IF(HAF[[#This Row],[Program]]="Housing Accelerator Fund", "Round One", "Round Two")</f>
        <v>Round One</v>
      </c>
      <c r="C185" s="14" t="s">
        <v>207</v>
      </c>
      <c r="D185" s="14" t="s">
        <v>170</v>
      </c>
      <c r="E185" s="14" t="s">
        <v>17</v>
      </c>
      <c r="F185" s="14" t="s">
        <v>18</v>
      </c>
      <c r="G185" s="15">
        <v>45321</v>
      </c>
      <c r="H185" s="15" t="str">
        <f>MID(HAF[[#This Row],[Client Program Name]], SEARCH( "-",HAF[[#This Row],[Client Program Name]])+1,LEN(HAF[[#This Row],[Client Program Name]])-(SEARCH( "-",HAF[[#This Row],[Client Program Name]])-1))</f>
        <v xml:space="preserve"> Whitesand First Nation</v>
      </c>
      <c r="I185" s="16">
        <v>1420000</v>
      </c>
      <c r="J185" s="16">
        <f>IF(ISNUMBER(MATCH(HAF[[#This Row],[Client Program Name]],Table6[Client Program],0)), VLOOKUP(HAF[[#This Row],[Client Program Name]],Table6[], 6, FALSE), 0 )</f>
        <v>1420000</v>
      </c>
      <c r="K185" s="16">
        <f>IF(ISNUMBER(MATCH(HAF[[#This Row],[Client Program Name]],Table6[Client Program],0)), VLOOKUP(HAF[[#This Row],[Client Program Name]],Table6[], 7, FALSE), VLOOKUP(HAF[[#This Row],[Client Program Name]],Table2[], 7, FALSE) )</f>
        <v>5</v>
      </c>
      <c r="L185" s="16">
        <v>20</v>
      </c>
      <c r="M185" s="16">
        <f>IF(ISNUMBER(MATCH(HAF[[#This Row],[Client Program Name]],Table6[Client Program],0)), VLOOKUP(HAF[[#This Row],[Client Program Name]],Table6[], 9, FALSE), 0 )</f>
        <v>20</v>
      </c>
      <c r="N185" s="16">
        <f>IF(ISNUMBER(MATCH(HAF[[#This Row],[Client Program Name]],Table6[Client Program],0)), VLOOKUP(HAF[[#This Row],[Client Program Name]],Table6[], 10, FALSE), VLOOKUP(HAF[[#This Row],[Client Program Name]],Table2[], 8, FALSE) )</f>
        <v>25</v>
      </c>
      <c r="O185" s="16">
        <v>202</v>
      </c>
      <c r="P185" s="3"/>
      <c r="Q185" s="14"/>
    </row>
    <row r="186" spans="1:17" x14ac:dyDescent="0.35">
      <c r="A186" s="14" t="s">
        <v>248</v>
      </c>
      <c r="B186" s="14" t="str">
        <f>IF(HAF[[#This Row],[Program]]="Housing Accelerator Fund", "Round One", "Round Two")</f>
        <v>Round One</v>
      </c>
      <c r="C186" s="14" t="s">
        <v>203</v>
      </c>
      <c r="D186" s="14" t="s">
        <v>170</v>
      </c>
      <c r="E186" s="14" t="s">
        <v>17</v>
      </c>
      <c r="F186" s="14" t="s">
        <v>18</v>
      </c>
      <c r="G186" s="15">
        <v>45313</v>
      </c>
      <c r="H186" s="15" t="str">
        <f>MID(HAF[[#This Row],[Client Program Name]], SEARCH( "-",HAF[[#This Row],[Client Program Name]])+1,LEN(HAF[[#This Row],[Client Program Name]])-(SEARCH( "-",HAF[[#This Row],[Client Program Name]])-1))</f>
        <v xml:space="preserve"> Wapekeka First Nation</v>
      </c>
      <c r="I186" s="16">
        <v>1773000</v>
      </c>
      <c r="J186" s="16">
        <f>IF(ISNUMBER(MATCH(HAF[[#This Row],[Client Program Name]],Table6[Client Program],0)), VLOOKUP(HAF[[#This Row],[Client Program Name]],Table6[], 6, FALSE), 0 )</f>
        <v>1773000</v>
      </c>
      <c r="K186" s="16">
        <f>IF(ISNUMBER(MATCH(HAF[[#This Row],[Client Program Name]],Table6[Client Program],0)), VLOOKUP(HAF[[#This Row],[Client Program Name]],Table6[], 7, FALSE), VLOOKUP(HAF[[#This Row],[Client Program Name]],Table2[], 7, FALSE) )</f>
        <v>3</v>
      </c>
      <c r="L186" s="16">
        <v>27</v>
      </c>
      <c r="M186" s="16">
        <f>IF(ISNUMBER(MATCH(HAF[[#This Row],[Client Program Name]],Table6[Client Program],0)), VLOOKUP(HAF[[#This Row],[Client Program Name]],Table6[], 9, FALSE), 0 )</f>
        <v>27</v>
      </c>
      <c r="N186" s="16">
        <f>IF(ISNUMBER(MATCH(HAF[[#This Row],[Client Program Name]],Table6[Client Program],0)), VLOOKUP(HAF[[#This Row],[Client Program Name]],Table6[], 10, FALSE), VLOOKUP(HAF[[#This Row],[Client Program Name]],Table2[], 8, FALSE) )</f>
        <v>30</v>
      </c>
      <c r="O186" s="16">
        <v>54</v>
      </c>
      <c r="P186" s="3"/>
      <c r="Q186" s="14"/>
    </row>
    <row r="187" spans="1:17" x14ac:dyDescent="0.35">
      <c r="A187" s="14" t="s">
        <v>248</v>
      </c>
      <c r="B187" s="14" t="str">
        <f>IF(HAF[[#This Row],[Program]]="Housing Accelerator Fund", "Round One", "Round Two")</f>
        <v>Round One</v>
      </c>
      <c r="C187" s="14" t="s">
        <v>181</v>
      </c>
      <c r="D187" s="14" t="s">
        <v>170</v>
      </c>
      <c r="E187" s="14" t="s">
        <v>17</v>
      </c>
      <c r="F187" s="14" t="s">
        <v>18</v>
      </c>
      <c r="G187" s="15">
        <v>45317</v>
      </c>
      <c r="H187" s="15" t="str">
        <f>MID(HAF[[#This Row],[Client Program Name]], SEARCH( "-",HAF[[#This Row],[Client Program Name]])+1,LEN(HAF[[#This Row],[Client Program Name]])-(SEARCH( "-",HAF[[#This Row],[Client Program Name]])-1))</f>
        <v xml:space="preserve"> Long Lake #58 First Nation</v>
      </c>
      <c r="I187" s="16">
        <v>2556000</v>
      </c>
      <c r="J187" s="16">
        <f>IF(ISNUMBER(MATCH(HAF[[#This Row],[Client Program Name]],Table6[Client Program],0)), VLOOKUP(HAF[[#This Row],[Client Program Name]],Table6[], 6, FALSE), 0 )</f>
        <v>2556000</v>
      </c>
      <c r="K187" s="16">
        <f>IF(ISNUMBER(MATCH(HAF[[#This Row],[Client Program Name]],Table6[Client Program],0)), VLOOKUP(HAF[[#This Row],[Client Program Name]],Table6[], 7, FALSE), VLOOKUP(HAF[[#This Row],[Client Program Name]],Table2[], 7, FALSE) )</f>
        <v>3</v>
      </c>
      <c r="L187" s="16">
        <v>36</v>
      </c>
      <c r="M187" s="16">
        <f>IF(ISNUMBER(MATCH(HAF[[#This Row],[Client Program Name]],Table6[Client Program],0)), VLOOKUP(HAF[[#This Row],[Client Program Name]],Table6[], 9, FALSE), 0 )</f>
        <v>36</v>
      </c>
      <c r="N187" s="16">
        <f>IF(ISNUMBER(MATCH(HAF[[#This Row],[Client Program Name]],Table6[Client Program],0)), VLOOKUP(HAF[[#This Row],[Client Program Name]],Table6[], 10, FALSE), VLOOKUP(HAF[[#This Row],[Client Program Name]],Table2[], 8, FALSE) )</f>
        <v>39</v>
      </c>
      <c r="O187" s="16">
        <v>339</v>
      </c>
      <c r="P187" s="3"/>
      <c r="Q187" s="14"/>
    </row>
    <row r="188" spans="1:17" x14ac:dyDescent="0.35">
      <c r="A188" s="14" t="s">
        <v>248</v>
      </c>
      <c r="B188" s="14" t="str">
        <f>IF(HAF[[#This Row],[Program]]="Housing Accelerator Fund", "Round One", "Round Two")</f>
        <v>Round One</v>
      </c>
      <c r="C188" s="14" t="s">
        <v>206</v>
      </c>
      <c r="D188" s="14" t="s">
        <v>170</v>
      </c>
      <c r="E188" s="14" t="s">
        <v>17</v>
      </c>
      <c r="F188" s="14" t="s">
        <v>18</v>
      </c>
      <c r="G188" s="15">
        <v>45317</v>
      </c>
      <c r="H188" s="15" t="str">
        <f>MID(HAF[[#This Row],[Client Program Name]], SEARCH( "-",HAF[[#This Row],[Client Program Name]])+1,LEN(HAF[[#This Row],[Client Program Name]])-(SEARCH( "-",HAF[[#This Row],[Client Program Name]])-1))</f>
        <v xml:space="preserve"> Webequie First Nation</v>
      </c>
      <c r="I188" s="16">
        <v>1065000</v>
      </c>
      <c r="J188" s="16">
        <f>IF(ISNUMBER(MATCH(HAF[[#This Row],[Client Program Name]],Table6[Client Program],0)), VLOOKUP(HAF[[#This Row],[Client Program Name]],Table6[], 6, FALSE), 0 )</f>
        <v>1065000</v>
      </c>
      <c r="K188" s="16">
        <f>IF(ISNUMBER(MATCH(HAF[[#This Row],[Client Program Name]],Table6[Client Program],0)), VLOOKUP(HAF[[#This Row],[Client Program Name]],Table6[], 7, FALSE), VLOOKUP(HAF[[#This Row],[Client Program Name]],Table2[], 7, FALSE) )</f>
        <v>18</v>
      </c>
      <c r="L188" s="16">
        <v>15</v>
      </c>
      <c r="M188" s="16">
        <f>IF(ISNUMBER(MATCH(HAF[[#This Row],[Client Program Name]],Table6[Client Program],0)), VLOOKUP(HAF[[#This Row],[Client Program Name]],Table6[], 9, FALSE), 0 )</f>
        <v>15</v>
      </c>
      <c r="N188" s="16">
        <f>IF(ISNUMBER(MATCH(HAF[[#This Row],[Client Program Name]],Table6[Client Program],0)), VLOOKUP(HAF[[#This Row],[Client Program Name]],Table6[], 10, FALSE), VLOOKUP(HAF[[#This Row],[Client Program Name]],Table2[], 8, FALSE) )</f>
        <v>33</v>
      </c>
      <c r="O188" s="16">
        <v>74</v>
      </c>
      <c r="P188" s="3"/>
      <c r="Q188" s="14"/>
    </row>
    <row r="189" spans="1:17" x14ac:dyDescent="0.35">
      <c r="A189" s="14" t="s">
        <v>248</v>
      </c>
      <c r="B189" s="14" t="str">
        <f>IF(HAF[[#This Row],[Program]]="Housing Accelerator Fund", "Round One", "Round Two")</f>
        <v>Round One</v>
      </c>
      <c r="C189" s="14" t="s">
        <v>208</v>
      </c>
      <c r="D189" s="14" t="s">
        <v>170</v>
      </c>
      <c r="E189" s="14" t="s">
        <v>17</v>
      </c>
      <c r="F189" s="14" t="s">
        <v>18</v>
      </c>
      <c r="G189" s="15">
        <v>45315</v>
      </c>
      <c r="H189" s="15" t="str">
        <f>MID(HAF[[#This Row],[Client Program Name]], SEARCH( "-",HAF[[#This Row],[Client Program Name]])+1,LEN(HAF[[#This Row],[Client Program Name]])-(SEARCH( "-",HAF[[#This Row],[Client Program Name]])-1))</f>
        <v xml:space="preserve"> Wunnumin Lake First Nation</v>
      </c>
      <c r="I189" s="16">
        <v>1773000</v>
      </c>
      <c r="J189" s="16">
        <f>IF(ISNUMBER(MATCH(HAF[[#This Row],[Client Program Name]],Table6[Client Program],0)), VLOOKUP(HAF[[#This Row],[Client Program Name]],Table6[], 6, FALSE), 0 )</f>
        <v>1773000</v>
      </c>
      <c r="K189" s="16">
        <f>IF(ISNUMBER(MATCH(HAF[[#This Row],[Client Program Name]],Table6[Client Program],0)), VLOOKUP(HAF[[#This Row],[Client Program Name]],Table6[], 7, FALSE), VLOOKUP(HAF[[#This Row],[Client Program Name]],Table2[], 7, FALSE) )</f>
        <v>3</v>
      </c>
      <c r="L189" s="16">
        <v>27</v>
      </c>
      <c r="M189" s="16">
        <f>IF(ISNUMBER(MATCH(HAF[[#This Row],[Client Program Name]],Table6[Client Program],0)), VLOOKUP(HAF[[#This Row],[Client Program Name]],Table6[], 9, FALSE), 0 )</f>
        <v>27</v>
      </c>
      <c r="N189" s="16">
        <f>IF(ISNUMBER(MATCH(HAF[[#This Row],[Client Program Name]],Table6[Client Program],0)), VLOOKUP(HAF[[#This Row],[Client Program Name]],Table6[], 10, FALSE), VLOOKUP(HAF[[#This Row],[Client Program Name]],Table2[], 8, FALSE) )</f>
        <v>30</v>
      </c>
      <c r="O189" s="16">
        <v>54</v>
      </c>
      <c r="P189" s="3"/>
      <c r="Q189" s="14"/>
    </row>
    <row r="190" spans="1:17" x14ac:dyDescent="0.35">
      <c r="A190" s="14" t="s">
        <v>249</v>
      </c>
      <c r="B190" s="14" t="str">
        <f>IF(HAF[[#This Row],[Program]]="Housing Accelerator Fund", "Round One", "Round Two")</f>
        <v>Round Two</v>
      </c>
      <c r="C190" s="14" t="s">
        <v>283</v>
      </c>
      <c r="D190" s="14" t="s">
        <v>170</v>
      </c>
      <c r="E190" s="14" t="s">
        <v>10</v>
      </c>
      <c r="F190" s="14" t="s">
        <v>11</v>
      </c>
      <c r="G190" s="15">
        <v>45636</v>
      </c>
      <c r="H190" s="15" t="str">
        <f>MID(HAF[[#This Row],[Client Program Name]], SEARCH( "-",HAF[[#This Row],[Client Program Name]])+1,LEN(HAF[[#This Row],[Client Program Name]])-(SEARCH( "-",HAF[[#This Row],[Client Program Name]])-1))</f>
        <v xml:space="preserve"> City of Sault Ste. Marie</v>
      </c>
      <c r="I190" s="16">
        <v>8616892</v>
      </c>
      <c r="J190" s="16">
        <f>IF(ISNUMBER(MATCH(HAF[[#This Row],[Client Program Name]],Table6[Client Program],0)), VLOOKUP(HAF[[#This Row],[Client Program Name]],Table6[], 6, FALSE), 0 )</f>
        <v>0</v>
      </c>
      <c r="K190" s="16">
        <f>IF(ISNUMBER(MATCH(HAF[[#This Row],[Client Program Name]],Table6[Client Program],0)), VLOOKUP(HAF[[#This Row],[Client Program Name]],Table6[], 7, FALSE), VLOOKUP(HAF[[#This Row],[Client Program Name]],Table2[], 7, FALSE) )</f>
        <v>810</v>
      </c>
      <c r="L190" s="16">
        <v>280</v>
      </c>
      <c r="M190" s="16">
        <f>IF(ISNUMBER(MATCH(HAF[[#This Row],[Client Program Name]],Table6[Client Program],0)), VLOOKUP(HAF[[#This Row],[Client Program Name]],Table6[], 9, FALSE), 0 )</f>
        <v>0</v>
      </c>
      <c r="N190" s="16">
        <f>IF(ISNUMBER(MATCH(HAF[[#This Row],[Client Program Name]],Table6[Client Program],0)), VLOOKUP(HAF[[#This Row],[Client Program Name]],Table6[], 10, FALSE), VLOOKUP(HAF[[#This Row],[Client Program Name]],Table2[], 8, FALSE) )</f>
        <v>1090</v>
      </c>
      <c r="O190" s="16">
        <v>1685</v>
      </c>
      <c r="P190" s="3"/>
      <c r="Q190" s="14"/>
    </row>
    <row r="191" spans="1:17" x14ac:dyDescent="0.35">
      <c r="A191" s="14" t="s">
        <v>249</v>
      </c>
      <c r="B191" s="14" t="str">
        <f>IF(HAF[[#This Row],[Program]]="Housing Accelerator Fund", "Round One", "Round Two")</f>
        <v>Round Two</v>
      </c>
      <c r="C191" s="14" t="s">
        <v>284</v>
      </c>
      <c r="D191" s="14" t="s">
        <v>170</v>
      </c>
      <c r="E191" s="14" t="s">
        <v>10</v>
      </c>
      <c r="F191" s="14" t="s">
        <v>11</v>
      </c>
      <c r="G191" s="15">
        <v>45645</v>
      </c>
      <c r="H191" s="15" t="str">
        <f>MID(HAF[[#This Row],[Client Program Name]], SEARCH( "-",HAF[[#This Row],[Client Program Name]])+1,LEN(HAF[[#This Row],[Client Program Name]])-(SEARCH( "-",HAF[[#This Row],[Client Program Name]])-1))</f>
        <v xml:space="preserve"> Town of Whitchurch-Stouffville</v>
      </c>
      <c r="I191" s="16">
        <v>8009665</v>
      </c>
      <c r="J191" s="16">
        <f>IF(ISNUMBER(MATCH(HAF[[#This Row],[Client Program Name]],Table6[Client Program],0)), VLOOKUP(HAF[[#This Row],[Client Program Name]],Table6[], 6, FALSE), 0 )</f>
        <v>0</v>
      </c>
      <c r="K191" s="16">
        <f>IF(ISNUMBER(MATCH(HAF[[#This Row],[Client Program Name]],Table6[Client Program],0)), VLOOKUP(HAF[[#This Row],[Client Program Name]],Table6[], 7, FALSE), VLOOKUP(HAF[[#This Row],[Client Program Name]],Table2[], 7, FALSE) )</f>
        <v>1600</v>
      </c>
      <c r="L191" s="16">
        <v>225</v>
      </c>
      <c r="M191" s="16">
        <f>IF(ISNUMBER(MATCH(HAF[[#This Row],[Client Program Name]],Table6[Client Program],0)), VLOOKUP(HAF[[#This Row],[Client Program Name]],Table6[], 9, FALSE), 0 )</f>
        <v>0</v>
      </c>
      <c r="N191" s="16">
        <f>IF(ISNUMBER(MATCH(HAF[[#This Row],[Client Program Name]],Table6[Client Program],0)), VLOOKUP(HAF[[#This Row],[Client Program Name]],Table6[], 10, FALSE), VLOOKUP(HAF[[#This Row],[Client Program Name]],Table2[], 8, FALSE) )</f>
        <v>1825</v>
      </c>
      <c r="O191" s="16">
        <v>1240</v>
      </c>
      <c r="P191" s="3"/>
      <c r="Q191" s="14"/>
    </row>
    <row r="192" spans="1:17" x14ac:dyDescent="0.35">
      <c r="A192" s="14" t="s">
        <v>249</v>
      </c>
      <c r="B192" s="14" t="str">
        <f>IF(HAF[[#This Row],[Program]]="Housing Accelerator Fund", "Round One", "Round Two")</f>
        <v>Round Two</v>
      </c>
      <c r="C192" s="14" t="s">
        <v>285</v>
      </c>
      <c r="D192" s="14" t="s">
        <v>170</v>
      </c>
      <c r="E192" s="14" t="s">
        <v>10</v>
      </c>
      <c r="F192" s="14" t="s">
        <v>11</v>
      </c>
      <c r="G192" s="15">
        <v>45637</v>
      </c>
      <c r="H192" s="15" t="str">
        <f>MID(HAF[[#This Row],[Client Program Name]], SEARCH( "-",HAF[[#This Row],[Client Program Name]])+1,LEN(HAF[[#This Row],[Client Program Name]])-(SEARCH( "-",HAF[[#This Row],[Client Program Name]])-1))</f>
        <v xml:space="preserve"> Loyalist Township</v>
      </c>
      <c r="I192" s="16">
        <v>3583905</v>
      </c>
      <c r="J192" s="16">
        <f>IF(ISNUMBER(MATCH(HAF[[#This Row],[Client Program Name]],Table6[Client Program],0)), VLOOKUP(HAF[[#This Row],[Client Program Name]],Table6[], 6, FALSE), 0 )</f>
        <v>0</v>
      </c>
      <c r="K192" s="16">
        <f>IF(ISNUMBER(MATCH(HAF[[#This Row],[Client Program Name]],Table6[Client Program],0)), VLOOKUP(HAF[[#This Row],[Client Program Name]],Table6[], 7, FALSE), VLOOKUP(HAF[[#This Row],[Client Program Name]],Table2[], 7, FALSE) )</f>
        <v>504</v>
      </c>
      <c r="L192" s="16">
        <v>111</v>
      </c>
      <c r="M192" s="16">
        <f>IF(ISNUMBER(MATCH(HAF[[#This Row],[Client Program Name]],Table6[Client Program],0)), VLOOKUP(HAF[[#This Row],[Client Program Name]],Table6[], 9, FALSE), 0 )</f>
        <v>0</v>
      </c>
      <c r="N192" s="16">
        <f>IF(ISNUMBER(MATCH(HAF[[#This Row],[Client Program Name]],Table6[Client Program],0)), VLOOKUP(HAF[[#This Row],[Client Program Name]],Table6[], 10, FALSE), VLOOKUP(HAF[[#This Row],[Client Program Name]],Table2[], 8, FALSE) )</f>
        <v>615</v>
      </c>
      <c r="O192" s="16">
        <v>1608</v>
      </c>
      <c r="P192" s="3"/>
      <c r="Q192" s="14"/>
    </row>
    <row r="193" spans="1:17" x14ac:dyDescent="0.35">
      <c r="A193" s="14" t="s">
        <v>249</v>
      </c>
      <c r="B193" s="14" t="str">
        <f>IF(HAF[[#This Row],[Program]]="Housing Accelerator Fund", "Round One", "Round Two")</f>
        <v>Round Two</v>
      </c>
      <c r="C193" s="14" t="s">
        <v>286</v>
      </c>
      <c r="D193" s="14" t="s">
        <v>170</v>
      </c>
      <c r="E193" s="14" t="s">
        <v>10</v>
      </c>
      <c r="F193" s="14" t="s">
        <v>11</v>
      </c>
      <c r="G193" s="15">
        <v>45649</v>
      </c>
      <c r="H193" s="15" t="str">
        <f>MID(HAF[[#This Row],[Client Program Name]], SEARCH( "-",HAF[[#This Row],[Client Program Name]])+1,LEN(HAF[[#This Row],[Client Program Name]])-(SEARCH( "-",HAF[[#This Row],[Client Program Name]])-1))</f>
        <v xml:space="preserve"> Orillia</v>
      </c>
      <c r="I193" s="16">
        <v>4515160</v>
      </c>
      <c r="J193" s="16">
        <f>IF(ISNUMBER(MATCH(HAF[[#This Row],[Client Program Name]],Table6[Client Program],0)), VLOOKUP(HAF[[#This Row],[Client Program Name]],Table6[], 6, FALSE), 0 )</f>
        <v>0</v>
      </c>
      <c r="K193" s="16">
        <f>IF(ISNUMBER(MATCH(HAF[[#This Row],[Client Program Name]],Table6[Client Program],0)), VLOOKUP(HAF[[#This Row],[Client Program Name]],Table6[], 7, FALSE), VLOOKUP(HAF[[#This Row],[Client Program Name]],Table2[], 7, FALSE) )</f>
        <v>808</v>
      </c>
      <c r="L193" s="16">
        <v>100</v>
      </c>
      <c r="M193" s="16">
        <f>IF(ISNUMBER(MATCH(HAF[[#This Row],[Client Program Name]],Table6[Client Program],0)), VLOOKUP(HAF[[#This Row],[Client Program Name]],Table6[], 9, FALSE), 0 )</f>
        <v>0</v>
      </c>
      <c r="N193" s="16">
        <f>IF(ISNUMBER(MATCH(HAF[[#This Row],[Client Program Name]],Table6[Client Program],0)), VLOOKUP(HAF[[#This Row],[Client Program Name]],Table6[], 10, FALSE), VLOOKUP(HAF[[#This Row],[Client Program Name]],Table2[], 8, FALSE) )</f>
        <v>908</v>
      </c>
      <c r="O193" s="16">
        <v>1060</v>
      </c>
      <c r="P193" s="3"/>
      <c r="Q193" s="14"/>
    </row>
    <row r="194" spans="1:17" x14ac:dyDescent="0.35">
      <c r="A194" s="14" t="s">
        <v>249</v>
      </c>
      <c r="B194" s="14" t="str">
        <f>IF(HAF[[#This Row],[Program]]="Housing Accelerator Fund", "Round One", "Round Two")</f>
        <v>Round Two</v>
      </c>
      <c r="C194" s="14" t="s">
        <v>287</v>
      </c>
      <c r="D194" s="14" t="s">
        <v>170</v>
      </c>
      <c r="E194" s="14" t="s">
        <v>10</v>
      </c>
      <c r="F194" s="14" t="s">
        <v>11</v>
      </c>
      <c r="G194" s="15">
        <v>45644</v>
      </c>
      <c r="H194" s="15" t="str">
        <f>MID(HAF[[#This Row],[Client Program Name]], SEARCH( "-",HAF[[#This Row],[Client Program Name]])+1,LEN(HAF[[#This Row],[Client Program Name]])-(SEARCH( "-",HAF[[#This Row],[Client Program Name]])-1))</f>
        <v xml:space="preserve"> City of Belleville</v>
      </c>
      <c r="I194" s="16">
        <v>10532411</v>
      </c>
      <c r="J194" s="16">
        <f>IF(ISNUMBER(MATCH(HAF[[#This Row],[Client Program Name]],Table6[Client Program],0)), VLOOKUP(HAF[[#This Row],[Client Program Name]],Table6[], 6, FALSE), 0 )</f>
        <v>0</v>
      </c>
      <c r="K194" s="16">
        <f>IF(ISNUMBER(MATCH(HAF[[#This Row],[Client Program Name]],Table6[Client Program],0)), VLOOKUP(HAF[[#This Row],[Client Program Name]],Table6[], 7, FALSE), VLOOKUP(HAF[[#This Row],[Client Program Name]],Table2[], 7, FALSE) )</f>
        <v>1131</v>
      </c>
      <c r="L194" s="16">
        <v>259</v>
      </c>
      <c r="M194" s="16">
        <f>IF(ISNUMBER(MATCH(HAF[[#This Row],[Client Program Name]],Table6[Client Program],0)), VLOOKUP(HAF[[#This Row],[Client Program Name]],Table6[], 9, FALSE), 0 )</f>
        <v>0</v>
      </c>
      <c r="N194" s="16">
        <f>IF(ISNUMBER(MATCH(HAF[[#This Row],[Client Program Name]],Table6[Client Program],0)), VLOOKUP(HAF[[#This Row],[Client Program Name]],Table6[], 10, FALSE), VLOOKUP(HAF[[#This Row],[Client Program Name]],Table2[], 8, FALSE) )</f>
        <v>1390</v>
      </c>
      <c r="O194" s="16">
        <v>10540</v>
      </c>
      <c r="P194" s="3"/>
      <c r="Q194" s="14"/>
    </row>
    <row r="195" spans="1:17" x14ac:dyDescent="0.35">
      <c r="A195" s="14" t="s">
        <v>249</v>
      </c>
      <c r="B195" s="14" t="str">
        <f>IF(HAF[[#This Row],[Program]]="Housing Accelerator Fund", "Round One", "Round Two")</f>
        <v>Round Two</v>
      </c>
      <c r="C195" s="14" t="s">
        <v>288</v>
      </c>
      <c r="D195" s="14" t="s">
        <v>170</v>
      </c>
      <c r="E195" s="14" t="s">
        <v>10</v>
      </c>
      <c r="F195" s="14" t="s">
        <v>11</v>
      </c>
      <c r="G195" s="15">
        <v>45645</v>
      </c>
      <c r="H195" s="15" t="str">
        <f>MID(HAF[[#This Row],[Client Program Name]], SEARCH( "-",HAF[[#This Row],[Client Program Name]])+1,LEN(HAF[[#This Row],[Client Program Name]])-(SEARCH( "-",HAF[[#This Row],[Client Program Name]])-1))</f>
        <v xml:space="preserve"> The Corporation of the Municipality of Strathroy-Caradoc</v>
      </c>
      <c r="I195" s="16">
        <v>3794477.5</v>
      </c>
      <c r="J195" s="16">
        <f>IF(ISNUMBER(MATCH(HAF[[#This Row],[Client Program Name]],Table6[Client Program],0)), VLOOKUP(HAF[[#This Row],[Client Program Name]],Table6[], 6, FALSE), 0 )</f>
        <v>0</v>
      </c>
      <c r="K195" s="16">
        <f>IF(ISNUMBER(MATCH(HAF[[#This Row],[Client Program Name]],Table6[Client Program],0)), VLOOKUP(HAF[[#This Row],[Client Program Name]],Table6[], 7, FALSE), VLOOKUP(HAF[[#This Row],[Client Program Name]],Table2[], 7, FALSE) )</f>
        <v>450</v>
      </c>
      <c r="L195" s="16">
        <v>125</v>
      </c>
      <c r="M195" s="16">
        <f>IF(ISNUMBER(MATCH(HAF[[#This Row],[Client Program Name]],Table6[Client Program],0)), VLOOKUP(HAF[[#This Row],[Client Program Name]],Table6[], 9, FALSE), 0 )</f>
        <v>0</v>
      </c>
      <c r="N195" s="16">
        <f>IF(ISNUMBER(MATCH(HAF[[#This Row],[Client Program Name]],Table6[Client Program],0)), VLOOKUP(HAF[[#This Row],[Client Program Name]],Table6[], 10, FALSE), VLOOKUP(HAF[[#This Row],[Client Program Name]],Table2[], 8, FALSE) )</f>
        <v>575</v>
      </c>
      <c r="O195" s="16">
        <v>660</v>
      </c>
      <c r="P195" s="3"/>
      <c r="Q195" s="14"/>
    </row>
    <row r="196" spans="1:17" x14ac:dyDescent="0.35">
      <c r="A196" s="14" t="s">
        <v>249</v>
      </c>
      <c r="B196" s="14" t="str">
        <f>IF(HAF[[#This Row],[Program]]="Housing Accelerator Fund", "Round One", "Round Two")</f>
        <v>Round Two</v>
      </c>
      <c r="C196" s="14" t="s">
        <v>289</v>
      </c>
      <c r="D196" s="14" t="s">
        <v>170</v>
      </c>
      <c r="E196" s="14" t="s">
        <v>10</v>
      </c>
      <c r="F196" s="14" t="s">
        <v>11</v>
      </c>
      <c r="G196" s="15">
        <v>45646</v>
      </c>
      <c r="H196" s="15" t="str">
        <f>MID(HAF[[#This Row],[Client Program Name]], SEARCH( "-",HAF[[#This Row],[Client Program Name]])+1,LEN(HAF[[#This Row],[Client Program Name]])-(SEARCH( "-",HAF[[#This Row],[Client Program Name]])-1))</f>
        <v xml:space="preserve"> The Town of Georgina</v>
      </c>
      <c r="I196" s="16">
        <v>5843400</v>
      </c>
      <c r="J196" s="16">
        <f>IF(ISNUMBER(MATCH(HAF[[#This Row],[Client Program Name]],Table6[Client Program],0)), VLOOKUP(HAF[[#This Row],[Client Program Name]],Table6[], 6, FALSE), 0 )</f>
        <v>0</v>
      </c>
      <c r="K196" s="16">
        <f>IF(ISNUMBER(MATCH(HAF[[#This Row],[Client Program Name]],Table6[Client Program],0)), VLOOKUP(HAF[[#This Row],[Client Program Name]],Table6[], 7, FALSE), VLOOKUP(HAF[[#This Row],[Client Program Name]],Table2[], 7, FALSE) )</f>
        <v>1005</v>
      </c>
      <c r="L196" s="16">
        <v>210</v>
      </c>
      <c r="M196" s="16">
        <f>IF(ISNUMBER(MATCH(HAF[[#This Row],[Client Program Name]],Table6[Client Program],0)), VLOOKUP(HAF[[#This Row],[Client Program Name]],Table6[], 9, FALSE), 0 )</f>
        <v>0</v>
      </c>
      <c r="N196" s="16">
        <f>IF(ISNUMBER(MATCH(HAF[[#This Row],[Client Program Name]],Table6[Client Program],0)), VLOOKUP(HAF[[#This Row],[Client Program Name]],Table6[], 10, FALSE), VLOOKUP(HAF[[#This Row],[Client Program Name]],Table2[], 8, FALSE) )</f>
        <v>1215</v>
      </c>
      <c r="O196" s="16">
        <v>1200</v>
      </c>
      <c r="P196" s="3"/>
      <c r="Q196" s="14"/>
    </row>
    <row r="197" spans="1:17" x14ac:dyDescent="0.35">
      <c r="A197" s="14" t="s">
        <v>249</v>
      </c>
      <c r="B197" s="14" t="str">
        <f>IF(HAF[[#This Row],[Program]]="Housing Accelerator Fund", "Round One", "Round Two")</f>
        <v>Round Two</v>
      </c>
      <c r="C197" s="14" t="s">
        <v>290</v>
      </c>
      <c r="D197" s="14" t="s">
        <v>170</v>
      </c>
      <c r="E197" s="14" t="s">
        <v>10</v>
      </c>
      <c r="F197" s="14" t="s">
        <v>11</v>
      </c>
      <c r="G197" s="15">
        <v>45639</v>
      </c>
      <c r="H197" s="15" t="str">
        <f>MID(HAF[[#This Row],[Client Program Name]], SEARCH( "-",HAF[[#This Row],[Client Program Name]])+1,LEN(HAF[[#This Row],[Client Program Name]])-(SEARCH( "-",HAF[[#This Row],[Client Program Name]])-1))</f>
        <v xml:space="preserve"> City of Port Colborne</v>
      </c>
      <c r="I197" s="16">
        <v>4379002.4000000004</v>
      </c>
      <c r="J197" s="16">
        <f>IF(ISNUMBER(MATCH(HAF[[#This Row],[Client Program Name]],Table6[Client Program],0)), VLOOKUP(HAF[[#This Row],[Client Program Name]],Table6[], 6, FALSE), 0 )</f>
        <v>0</v>
      </c>
      <c r="K197" s="16">
        <f>IF(ISNUMBER(MATCH(HAF[[#This Row],[Client Program Name]],Table6[Client Program],0)), VLOOKUP(HAF[[#This Row],[Client Program Name]],Table6[], 7, FALSE), VLOOKUP(HAF[[#This Row],[Client Program Name]],Table2[], 7, FALSE) )</f>
        <v>243</v>
      </c>
      <c r="L197" s="16">
        <v>128</v>
      </c>
      <c r="M197" s="16">
        <f>IF(ISNUMBER(MATCH(HAF[[#This Row],[Client Program Name]],Table6[Client Program],0)), VLOOKUP(HAF[[#This Row],[Client Program Name]],Table6[], 9, FALSE), 0 )</f>
        <v>0</v>
      </c>
      <c r="N197" s="16">
        <f>IF(ISNUMBER(MATCH(HAF[[#This Row],[Client Program Name]],Table6[Client Program],0)), VLOOKUP(HAF[[#This Row],[Client Program Name]],Table6[], 10, FALSE), VLOOKUP(HAF[[#This Row],[Client Program Name]],Table2[], 8, FALSE) )</f>
        <v>371</v>
      </c>
      <c r="O197" s="16">
        <v>1175</v>
      </c>
      <c r="P197" s="3"/>
      <c r="Q197" s="14"/>
    </row>
    <row r="198" spans="1:17" x14ac:dyDescent="0.35">
      <c r="A198" s="14" t="s">
        <v>249</v>
      </c>
      <c r="B198" s="14" t="str">
        <f>IF(HAF[[#This Row],[Program]]="Housing Accelerator Fund", "Round One", "Round Two")</f>
        <v>Round Two</v>
      </c>
      <c r="C198" s="14" t="s">
        <v>291</v>
      </c>
      <c r="D198" s="14" t="s">
        <v>170</v>
      </c>
      <c r="E198" s="14" t="s">
        <v>10</v>
      </c>
      <c r="F198" s="14" t="s">
        <v>11</v>
      </c>
      <c r="G198" s="15">
        <v>45630</v>
      </c>
      <c r="H198" s="15" t="str">
        <f>MID(HAF[[#This Row],[Client Program Name]], SEARCH( "-",HAF[[#This Row],[Client Program Name]])+1,LEN(HAF[[#This Row],[Client Program Name]])-(SEARCH( "-",HAF[[#This Row],[Client Program Name]])-1))</f>
        <v xml:space="preserve"> Town of Carleton Place</v>
      </c>
      <c r="I198" s="16">
        <v>5693923.4000000004</v>
      </c>
      <c r="J198" s="16">
        <f>IF(ISNUMBER(MATCH(HAF[[#This Row],[Client Program Name]],Table6[Client Program],0)), VLOOKUP(HAF[[#This Row],[Client Program Name]],Table6[], 6, FALSE), 0 )</f>
        <v>0</v>
      </c>
      <c r="K198" s="16">
        <f>IF(ISNUMBER(MATCH(HAF[[#This Row],[Client Program Name]],Table6[Client Program],0)), VLOOKUP(HAF[[#This Row],[Client Program Name]],Table6[], 7, FALSE), VLOOKUP(HAF[[#This Row],[Client Program Name]],Table2[], 7, FALSE) )</f>
        <v>645</v>
      </c>
      <c r="L198" s="16">
        <v>168</v>
      </c>
      <c r="M198" s="16">
        <f>IF(ISNUMBER(MATCH(HAF[[#This Row],[Client Program Name]],Table6[Client Program],0)), VLOOKUP(HAF[[#This Row],[Client Program Name]],Table6[], 9, FALSE), 0 )</f>
        <v>0</v>
      </c>
      <c r="N198" s="16">
        <f>IF(ISNUMBER(MATCH(HAF[[#This Row],[Client Program Name]],Table6[Client Program],0)), VLOOKUP(HAF[[#This Row],[Client Program Name]],Table6[], 10, FALSE), VLOOKUP(HAF[[#This Row],[Client Program Name]],Table2[], 8, FALSE) )</f>
        <v>813</v>
      </c>
      <c r="O198" s="16">
        <v>934</v>
      </c>
      <c r="P198" s="3"/>
      <c r="Q198" s="14"/>
    </row>
    <row r="199" spans="1:17" x14ac:dyDescent="0.35">
      <c r="A199" s="14" t="s">
        <v>249</v>
      </c>
      <c r="B199" s="14" t="str">
        <f>IF(HAF[[#This Row],[Program]]="Housing Accelerator Fund", "Round One", "Round Two")</f>
        <v>Round Two</v>
      </c>
      <c r="C199" s="14" t="s">
        <v>292</v>
      </c>
      <c r="D199" s="14" t="s">
        <v>170</v>
      </c>
      <c r="E199" s="14" t="s">
        <v>10</v>
      </c>
      <c r="F199" s="14" t="s">
        <v>11</v>
      </c>
      <c r="G199" s="15">
        <v>45635</v>
      </c>
      <c r="H199" s="15" t="str">
        <f>MID(HAF[[#This Row],[Client Program Name]], SEARCH( "-",HAF[[#This Row],[Client Program Name]])+1,LEN(HAF[[#This Row],[Client Program Name]])-(SEARCH( "-",HAF[[#This Row],[Client Program Name]])-1))</f>
        <v xml:space="preserve"> City of St. Thomas</v>
      </c>
      <c r="I199" s="16">
        <v>6651421.7999999998</v>
      </c>
      <c r="J199" s="16">
        <f>IF(ISNUMBER(MATCH(HAF[[#This Row],[Client Program Name]],Table6[Client Program],0)), VLOOKUP(HAF[[#This Row],[Client Program Name]],Table6[], 6, FALSE), 0 )</f>
        <v>0</v>
      </c>
      <c r="K199" s="16">
        <f>IF(ISNUMBER(MATCH(HAF[[#This Row],[Client Program Name]],Table6[Client Program],0)), VLOOKUP(HAF[[#This Row],[Client Program Name]],Table6[], 7, FALSE), VLOOKUP(HAF[[#This Row],[Client Program Name]],Table2[], 7, FALSE) )</f>
        <v>950</v>
      </c>
      <c r="L199" s="16">
        <v>233</v>
      </c>
      <c r="M199" s="16">
        <f>IF(ISNUMBER(MATCH(HAF[[#This Row],[Client Program Name]],Table6[Client Program],0)), VLOOKUP(HAF[[#This Row],[Client Program Name]],Table6[], 9, FALSE), 0 )</f>
        <v>0</v>
      </c>
      <c r="N199" s="16">
        <f>IF(ISNUMBER(MATCH(HAF[[#This Row],[Client Program Name]],Table6[Client Program],0)), VLOOKUP(HAF[[#This Row],[Client Program Name]],Table6[], 10, FALSE), VLOOKUP(HAF[[#This Row],[Client Program Name]],Table2[], 8, FALSE) )</f>
        <v>1183</v>
      </c>
      <c r="O199" s="16">
        <v>3570</v>
      </c>
      <c r="P199" s="3"/>
      <c r="Q199" s="14"/>
    </row>
    <row r="200" spans="1:17" x14ac:dyDescent="0.35">
      <c r="A200" s="14" t="s">
        <v>249</v>
      </c>
      <c r="B200" s="14" t="str">
        <f>IF(HAF[[#This Row],[Program]]="Housing Accelerator Fund", "Round One", "Round Two")</f>
        <v>Round Two</v>
      </c>
      <c r="C200" s="14" t="s">
        <v>293</v>
      </c>
      <c r="D200" s="14" t="s">
        <v>170</v>
      </c>
      <c r="E200" s="14" t="s">
        <v>10</v>
      </c>
      <c r="F200" s="14" t="s">
        <v>11</v>
      </c>
      <c r="G200" s="15">
        <v>45671</v>
      </c>
      <c r="H200" s="15" t="str">
        <f>MID(HAF[[#This Row],[Client Program Name]], SEARCH( "-",HAF[[#This Row],[Client Program Name]])+1,LEN(HAF[[#This Row],[Client Program Name]])-(SEARCH( "-",HAF[[#This Row],[Client Program Name]])-1))</f>
        <v xml:space="preserve"> Municipality of Chatham-Kent</v>
      </c>
      <c r="I200" s="16">
        <v>10057602.9</v>
      </c>
      <c r="J200" s="16">
        <f>IF(ISNUMBER(MATCH(HAF[[#This Row],[Client Program Name]],Table6[Client Program],0)), VLOOKUP(HAF[[#This Row],[Client Program Name]],Table6[], 6, FALSE), 0 )</f>
        <v>0</v>
      </c>
      <c r="K200" s="16">
        <f>IF(ISNUMBER(MATCH(HAF[[#This Row],[Client Program Name]],Table6[Client Program],0)), VLOOKUP(HAF[[#This Row],[Client Program Name]],Table6[], 7, FALSE), VLOOKUP(HAF[[#This Row],[Client Program Name]],Table2[], 7, FALSE) )</f>
        <v>1287</v>
      </c>
      <c r="L200" s="16">
        <v>300</v>
      </c>
      <c r="M200" s="16">
        <f>IF(ISNUMBER(MATCH(HAF[[#This Row],[Client Program Name]],Table6[Client Program],0)), VLOOKUP(HAF[[#This Row],[Client Program Name]],Table6[], 9, FALSE), 0 )</f>
        <v>0</v>
      </c>
      <c r="N200" s="16">
        <f>IF(ISNUMBER(MATCH(HAF[[#This Row],[Client Program Name]],Table6[Client Program],0)), VLOOKUP(HAF[[#This Row],[Client Program Name]],Table6[], 10, FALSE), VLOOKUP(HAF[[#This Row],[Client Program Name]],Table2[], 8, FALSE) )</f>
        <v>1587</v>
      </c>
      <c r="O200" s="16">
        <v>1840</v>
      </c>
      <c r="P200" s="3"/>
      <c r="Q200" s="14"/>
    </row>
    <row r="201" spans="1:17" x14ac:dyDescent="0.35">
      <c r="A201" s="14" t="s">
        <v>249</v>
      </c>
      <c r="B201" s="14" t="str">
        <f>IF(HAF[[#This Row],[Program]]="Housing Accelerator Fund", "Round One", "Round Two")</f>
        <v>Round Two</v>
      </c>
      <c r="C201" s="14" t="s">
        <v>294</v>
      </c>
      <c r="D201" s="14" t="s">
        <v>170</v>
      </c>
      <c r="E201" s="14" t="s">
        <v>10</v>
      </c>
      <c r="F201" s="14" t="s">
        <v>11</v>
      </c>
      <c r="G201" s="15">
        <v>45681</v>
      </c>
      <c r="H201" s="15" t="str">
        <f>MID(HAF[[#This Row],[Client Program Name]], SEARCH( "-",HAF[[#This Row],[Client Program Name]])+1,LEN(HAF[[#This Row],[Client Program Name]])-(SEARCH( "-",HAF[[#This Row],[Client Program Name]])-1))</f>
        <v xml:space="preserve"> Lakeshore</v>
      </c>
      <c r="I201" s="16">
        <v>7436162</v>
      </c>
      <c r="J201" s="16">
        <f>IF(ISNUMBER(MATCH(HAF[[#This Row],[Client Program Name]],Table6[Client Program],0)), VLOOKUP(HAF[[#This Row],[Client Program Name]],Table6[], 6, FALSE), 0 )</f>
        <v>0</v>
      </c>
      <c r="K201" s="16">
        <f>IF(ISNUMBER(MATCH(HAF[[#This Row],[Client Program Name]],Table6[Client Program],0)), VLOOKUP(HAF[[#This Row],[Client Program Name]],Table6[], 7, FALSE), VLOOKUP(HAF[[#This Row],[Client Program Name]],Table2[], 7, FALSE) )</f>
        <v>690</v>
      </c>
      <c r="L201" s="16">
        <v>208</v>
      </c>
      <c r="M201" s="16">
        <f>IF(ISNUMBER(MATCH(HAF[[#This Row],[Client Program Name]],Table6[Client Program],0)), VLOOKUP(HAF[[#This Row],[Client Program Name]],Table6[], 9, FALSE), 0 )</f>
        <v>0</v>
      </c>
      <c r="N201" s="16">
        <f>IF(ISNUMBER(MATCH(HAF[[#This Row],[Client Program Name]],Table6[Client Program],0)), VLOOKUP(HAF[[#This Row],[Client Program Name]],Table6[], 10, FALSE), VLOOKUP(HAF[[#This Row],[Client Program Name]],Table2[], 8, FALSE) )</f>
        <v>898</v>
      </c>
      <c r="O201" s="16">
        <v>1730</v>
      </c>
      <c r="P201" s="3"/>
      <c r="Q201" s="14"/>
    </row>
    <row r="202" spans="1:17" x14ac:dyDescent="0.35">
      <c r="A202" s="14" t="s">
        <v>249</v>
      </c>
      <c r="B202" s="14" t="str">
        <f>IF(HAF[[#This Row],[Program]]="Housing Accelerator Fund", "Round One", "Round Two")</f>
        <v>Round Two</v>
      </c>
      <c r="C202" s="14" t="s">
        <v>295</v>
      </c>
      <c r="D202" s="14" t="s">
        <v>170</v>
      </c>
      <c r="E202" s="14" t="s">
        <v>10</v>
      </c>
      <c r="F202" s="14" t="s">
        <v>11</v>
      </c>
      <c r="G202" s="15">
        <v>45632</v>
      </c>
      <c r="H202" s="15" t="str">
        <f>MID(HAF[[#This Row],[Client Program Name]], SEARCH( "-",HAF[[#This Row],[Client Program Name]])+1,LEN(HAF[[#This Row],[Client Program Name]])-(SEARCH( "-",HAF[[#This Row],[Client Program Name]])-1))</f>
        <v xml:space="preserve"> City of Greater Sudbury</v>
      </c>
      <c r="I202" s="16">
        <v>16072483.800000001</v>
      </c>
      <c r="J202" s="16">
        <f>IF(ISNUMBER(MATCH(HAF[[#This Row],[Client Program Name]],Table6[Client Program],0)), VLOOKUP(HAF[[#This Row],[Client Program Name]],Table6[], 6, FALSE), 0 )</f>
        <v>0</v>
      </c>
      <c r="K202" s="16">
        <f>IF(ISNUMBER(MATCH(HAF[[#This Row],[Client Program Name]],Table6[Client Program],0)), VLOOKUP(HAF[[#This Row],[Client Program Name]],Table6[], 7, FALSE), VLOOKUP(HAF[[#This Row],[Client Program Name]],Table2[], 7, FALSE) )</f>
        <v>1456</v>
      </c>
      <c r="L202" s="16">
        <v>495</v>
      </c>
      <c r="M202" s="16">
        <f>IF(ISNUMBER(MATCH(HAF[[#This Row],[Client Program Name]],Table6[Client Program],0)), VLOOKUP(HAF[[#This Row],[Client Program Name]],Table6[], 9, FALSE), 0 )</f>
        <v>0</v>
      </c>
      <c r="N202" s="16">
        <f>IF(ISNUMBER(MATCH(HAF[[#This Row],[Client Program Name]],Table6[Client Program],0)), VLOOKUP(HAF[[#This Row],[Client Program Name]],Table6[], 10, FALSE), VLOOKUP(HAF[[#This Row],[Client Program Name]],Table2[], 8, FALSE) )</f>
        <v>1951</v>
      </c>
      <c r="O202" s="16">
        <v>4250</v>
      </c>
      <c r="P202" s="3"/>
      <c r="Q202" s="14"/>
    </row>
    <row r="203" spans="1:17" x14ac:dyDescent="0.35">
      <c r="A203" s="14" t="s">
        <v>249</v>
      </c>
      <c r="B203" s="14" t="str">
        <f>IF(HAF[[#This Row],[Program]]="Housing Accelerator Fund", "Round One", "Round Two")</f>
        <v>Round Two</v>
      </c>
      <c r="C203" s="14" t="s">
        <v>296</v>
      </c>
      <c r="D203" s="14" t="s">
        <v>170</v>
      </c>
      <c r="E203" s="14" t="s">
        <v>10</v>
      </c>
      <c r="F203" s="14" t="s">
        <v>11</v>
      </c>
      <c r="G203" s="15">
        <v>45649</v>
      </c>
      <c r="H203" s="15" t="str">
        <f>MID(HAF[[#This Row],[Client Program Name]], SEARCH( "-",HAF[[#This Row],[Client Program Name]])+1,LEN(HAF[[#This Row],[Client Program Name]])-(SEARCH( "-",HAF[[#This Row],[Client Program Name]])-1))</f>
        <v xml:space="preserve"> Municipality of Middlesex Centre</v>
      </c>
      <c r="I203" s="16">
        <v>4246800.5</v>
      </c>
      <c r="J203" s="16">
        <f>IF(ISNUMBER(MATCH(HAF[[#This Row],[Client Program Name]],Table6[Client Program],0)), VLOOKUP(HAF[[#This Row],[Client Program Name]],Table6[], 6, FALSE), 0 )</f>
        <v>0</v>
      </c>
      <c r="K203" s="16">
        <f>IF(ISNUMBER(MATCH(HAF[[#This Row],[Client Program Name]],Table6[Client Program],0)), VLOOKUP(HAF[[#This Row],[Client Program Name]],Table6[], 7, FALSE), VLOOKUP(HAF[[#This Row],[Client Program Name]],Table2[], 7, FALSE) )</f>
        <v>527</v>
      </c>
      <c r="L203" s="16">
        <v>118</v>
      </c>
      <c r="M203" s="16">
        <f>IF(ISNUMBER(MATCH(HAF[[#This Row],[Client Program Name]],Table6[Client Program],0)), VLOOKUP(HAF[[#This Row],[Client Program Name]],Table6[], 9, FALSE), 0 )</f>
        <v>0</v>
      </c>
      <c r="N203" s="16">
        <f>IF(ISNUMBER(MATCH(HAF[[#This Row],[Client Program Name]],Table6[Client Program],0)), VLOOKUP(HAF[[#This Row],[Client Program Name]],Table6[], 10, FALSE), VLOOKUP(HAF[[#This Row],[Client Program Name]],Table2[], 8, FALSE) )</f>
        <v>645</v>
      </c>
      <c r="O203" s="16">
        <v>658</v>
      </c>
      <c r="P203" s="3"/>
      <c r="Q203" s="14"/>
    </row>
    <row r="204" spans="1:17" x14ac:dyDescent="0.35">
      <c r="A204" s="14" t="s">
        <v>249</v>
      </c>
      <c r="B204" s="14" t="str">
        <f>IF(HAF[[#This Row],[Program]]="Housing Accelerator Fund", "Round One", "Round Two")</f>
        <v>Round Two</v>
      </c>
      <c r="C204" s="14" t="s">
        <v>297</v>
      </c>
      <c r="D204" s="14" t="s">
        <v>170</v>
      </c>
      <c r="E204" s="14" t="s">
        <v>10</v>
      </c>
      <c r="F204" s="14" t="s">
        <v>11</v>
      </c>
      <c r="G204" s="15">
        <v>45635</v>
      </c>
      <c r="H204" s="15" t="str">
        <f>MID(HAF[[#This Row],[Client Program Name]], SEARCH( "-",HAF[[#This Row],[Client Program Name]])+1,LEN(HAF[[#This Row],[Client Program Name]])-(SEARCH( "-",HAF[[#This Row],[Client Program Name]])-1))</f>
        <v xml:space="preserve"> City of Peterborough</v>
      </c>
      <c r="I204" s="16">
        <v>10690354</v>
      </c>
      <c r="J204" s="16">
        <f>IF(ISNUMBER(MATCH(HAF[[#This Row],[Client Program Name]],Table6[Client Program],0)), VLOOKUP(HAF[[#This Row],[Client Program Name]],Table6[], 6, FALSE), 0 )</f>
        <v>0</v>
      </c>
      <c r="K204" s="16">
        <f>IF(ISNUMBER(MATCH(HAF[[#This Row],[Client Program Name]],Table6[Client Program],0)), VLOOKUP(HAF[[#This Row],[Client Program Name]],Table6[], 7, FALSE), VLOOKUP(HAF[[#This Row],[Client Program Name]],Table2[], 7, FALSE) )</f>
        <v>1054</v>
      </c>
      <c r="L204" s="16">
        <v>356</v>
      </c>
      <c r="M204" s="16">
        <f>IF(ISNUMBER(MATCH(HAF[[#This Row],[Client Program Name]],Table6[Client Program],0)), VLOOKUP(HAF[[#This Row],[Client Program Name]],Table6[], 9, FALSE), 0 )</f>
        <v>0</v>
      </c>
      <c r="N204" s="16">
        <f>IF(ISNUMBER(MATCH(HAF[[#This Row],[Client Program Name]],Table6[Client Program],0)), VLOOKUP(HAF[[#This Row],[Client Program Name]],Table6[], 10, FALSE), VLOOKUP(HAF[[#This Row],[Client Program Name]],Table2[], 8, FALSE) )</f>
        <v>1410</v>
      </c>
      <c r="O204" s="16">
        <v>2531</v>
      </c>
      <c r="P204" s="3"/>
      <c r="Q204" s="14"/>
    </row>
    <row r="205" spans="1:17" x14ac:dyDescent="0.35">
      <c r="A205" s="14" t="s">
        <v>249</v>
      </c>
      <c r="B205" s="14" t="str">
        <f>IF(HAF[[#This Row],[Program]]="Housing Accelerator Fund", "Round One", "Round Two")</f>
        <v>Round Two</v>
      </c>
      <c r="C205" s="14" t="s">
        <v>298</v>
      </c>
      <c r="D205" s="14" t="s">
        <v>170</v>
      </c>
      <c r="E205" s="14" t="s">
        <v>10</v>
      </c>
      <c r="F205" s="14" t="s">
        <v>11</v>
      </c>
      <c r="G205" s="15">
        <v>45630</v>
      </c>
      <c r="H205" s="15" t="str">
        <f>MID(HAF[[#This Row],[Client Program Name]], SEARCH( "-",HAF[[#This Row],[Client Program Name]])+1,LEN(HAF[[#This Row],[Client Program Name]])-(SEARCH( "-",HAF[[#This Row],[Client Program Name]])-1))</f>
        <v xml:space="preserve"> Town of Saugeen Shores</v>
      </c>
      <c r="I205" s="16">
        <v>3235008</v>
      </c>
      <c r="J205" s="16">
        <f>IF(ISNUMBER(MATCH(HAF[[#This Row],[Client Program Name]],Table6[Client Program],0)), VLOOKUP(HAF[[#This Row],[Client Program Name]],Table6[], 6, FALSE), 0 )</f>
        <v>0</v>
      </c>
      <c r="K205" s="16">
        <f>IF(ISNUMBER(MATCH(HAF[[#This Row],[Client Program Name]],Table6[Client Program],0)), VLOOKUP(HAF[[#This Row],[Client Program Name]],Table6[], 7, FALSE), VLOOKUP(HAF[[#This Row],[Client Program Name]],Table2[], 7, FALSE) )</f>
        <v>569</v>
      </c>
      <c r="L205" s="16">
        <v>90</v>
      </c>
      <c r="M205" s="16">
        <f>IF(ISNUMBER(MATCH(HAF[[#This Row],[Client Program Name]],Table6[Client Program],0)), VLOOKUP(HAF[[#This Row],[Client Program Name]],Table6[], 9, FALSE), 0 )</f>
        <v>0</v>
      </c>
      <c r="N205" s="16">
        <f>IF(ISNUMBER(MATCH(HAF[[#This Row],[Client Program Name]],Table6[Client Program],0)), VLOOKUP(HAF[[#This Row],[Client Program Name]],Table6[], 10, FALSE), VLOOKUP(HAF[[#This Row],[Client Program Name]],Table2[], 8, FALSE) )</f>
        <v>659</v>
      </c>
      <c r="O205" s="16">
        <v>444</v>
      </c>
      <c r="P205" s="3"/>
      <c r="Q205" s="14"/>
    </row>
    <row r="206" spans="1:17" x14ac:dyDescent="0.35">
      <c r="A206" s="14" t="s">
        <v>249</v>
      </c>
      <c r="B206" s="14" t="str">
        <f>IF(HAF[[#This Row],[Program]]="Housing Accelerator Fund", "Round One", "Round Two")</f>
        <v>Round Two</v>
      </c>
      <c r="C206" s="14" t="s">
        <v>299</v>
      </c>
      <c r="D206" s="14" t="s">
        <v>170</v>
      </c>
      <c r="E206" s="14" t="s">
        <v>10</v>
      </c>
      <c r="F206" s="14" t="s">
        <v>11</v>
      </c>
      <c r="G206" s="15">
        <v>45649</v>
      </c>
      <c r="H206" s="15" t="str">
        <f>MID(HAF[[#This Row],[Client Program Name]], SEARCH( "-",HAF[[#This Row],[Client Program Name]])+1,LEN(HAF[[#This Row],[Client Program Name]])-(SEARCH( "-",HAF[[#This Row],[Client Program Name]])-1))</f>
        <v xml:space="preserve"> City of North Bay</v>
      </c>
      <c r="I206" s="16">
        <v>10615788</v>
      </c>
      <c r="J206" s="16">
        <f>IF(ISNUMBER(MATCH(HAF[[#This Row],[Client Program Name]],Table6[Client Program],0)), VLOOKUP(HAF[[#This Row],[Client Program Name]],Table6[], 6, FALSE), 0 )</f>
        <v>0</v>
      </c>
      <c r="K206" s="16">
        <f>IF(ISNUMBER(MATCH(HAF[[#This Row],[Client Program Name]],Table6[Client Program],0)), VLOOKUP(HAF[[#This Row],[Client Program Name]],Table6[], 7, FALSE), VLOOKUP(HAF[[#This Row],[Client Program Name]],Table2[], 7, FALSE) )</f>
        <v>503</v>
      </c>
      <c r="L206" s="16">
        <v>337</v>
      </c>
      <c r="M206" s="16">
        <f>IF(ISNUMBER(MATCH(HAF[[#This Row],[Client Program Name]],Table6[Client Program],0)), VLOOKUP(HAF[[#This Row],[Client Program Name]],Table6[], 9, FALSE), 0 )</f>
        <v>0</v>
      </c>
      <c r="N206" s="16">
        <f>IF(ISNUMBER(MATCH(HAF[[#This Row],[Client Program Name]],Table6[Client Program],0)), VLOOKUP(HAF[[#This Row],[Client Program Name]],Table6[], 10, FALSE), VLOOKUP(HAF[[#This Row],[Client Program Name]],Table2[], 8, FALSE) )</f>
        <v>840</v>
      </c>
      <c r="O206" s="16">
        <v>4188</v>
      </c>
      <c r="P206" s="3"/>
      <c r="Q206" s="14"/>
    </row>
    <row r="207" spans="1:17" x14ac:dyDescent="0.35">
      <c r="A207" s="14" t="s">
        <v>249</v>
      </c>
      <c r="B207" s="14" t="str">
        <f>IF(HAF[[#This Row],[Program]]="Housing Accelerator Fund", "Round One", "Round Two")</f>
        <v>Round Two</v>
      </c>
      <c r="C207" s="14" t="s">
        <v>300</v>
      </c>
      <c r="D207" s="14" t="s">
        <v>170</v>
      </c>
      <c r="E207" s="14" t="s">
        <v>10</v>
      </c>
      <c r="F207" s="14" t="s">
        <v>11</v>
      </c>
      <c r="G207" s="15">
        <v>45636</v>
      </c>
      <c r="H207" s="15" t="str">
        <f>MID(HAF[[#This Row],[Client Program Name]], SEARCH( "-",HAF[[#This Row],[Client Program Name]])+1,LEN(HAF[[#This Row],[Client Program Name]])-(SEARCH( "-",HAF[[#This Row],[Client Program Name]])-1))</f>
        <v xml:space="preserve"> Municipality of Mississippi Mills</v>
      </c>
      <c r="I207" s="16">
        <v>3315592.8</v>
      </c>
      <c r="J207" s="16">
        <f>IF(ISNUMBER(MATCH(HAF[[#This Row],[Client Program Name]],Table6[Client Program],0)), VLOOKUP(HAF[[#This Row],[Client Program Name]],Table6[], 6, FALSE), 0 )</f>
        <v>0</v>
      </c>
      <c r="K207" s="16">
        <f>IF(ISNUMBER(MATCH(HAF[[#This Row],[Client Program Name]],Table6[Client Program],0)), VLOOKUP(HAF[[#This Row],[Client Program Name]],Table6[], 7, FALSE), VLOOKUP(HAF[[#This Row],[Client Program Name]],Table2[], 7, FALSE) )</f>
        <v>306</v>
      </c>
      <c r="L207" s="16">
        <v>108</v>
      </c>
      <c r="M207" s="16">
        <f>IF(ISNUMBER(MATCH(HAF[[#This Row],[Client Program Name]],Table6[Client Program],0)), VLOOKUP(HAF[[#This Row],[Client Program Name]],Table6[], 9, FALSE), 0 )</f>
        <v>0</v>
      </c>
      <c r="N207" s="16">
        <f>IF(ISNUMBER(MATCH(HAF[[#This Row],[Client Program Name]],Table6[Client Program],0)), VLOOKUP(HAF[[#This Row],[Client Program Name]],Table6[], 10, FALSE), VLOOKUP(HAF[[#This Row],[Client Program Name]],Table2[], 8, FALSE) )</f>
        <v>414</v>
      </c>
      <c r="O207" s="16">
        <v>477</v>
      </c>
      <c r="P207" s="3"/>
      <c r="Q207" s="14"/>
    </row>
    <row r="208" spans="1:17" x14ac:dyDescent="0.35">
      <c r="A208" s="14" t="s">
        <v>249</v>
      </c>
      <c r="B208" s="14" t="str">
        <f>IF(HAF[[#This Row],[Program]]="Housing Accelerator Fund", "Round One", "Round Two")</f>
        <v>Round Two</v>
      </c>
      <c r="C208" s="14" t="s">
        <v>301</v>
      </c>
      <c r="D208" s="14" t="s">
        <v>170</v>
      </c>
      <c r="E208" s="14" t="s">
        <v>10</v>
      </c>
      <c r="F208" s="14" t="s">
        <v>11</v>
      </c>
      <c r="G208" s="15">
        <v>45637</v>
      </c>
      <c r="H208" s="15" t="str">
        <f>MID(HAF[[#This Row],[Client Program Name]], SEARCH( "-",HAF[[#This Row],[Client Program Name]])+1,LEN(HAF[[#This Row],[Client Program Name]])-(SEARCH( "-",HAF[[#This Row],[Client Program Name]])-1))</f>
        <v xml:space="preserve"> Caledon</v>
      </c>
      <c r="I208" s="16">
        <v>13991742</v>
      </c>
      <c r="J208" s="16">
        <f>IF(ISNUMBER(MATCH(HAF[[#This Row],[Client Program Name]],Table6[Client Program],0)), VLOOKUP(HAF[[#This Row],[Client Program Name]],Table6[], 6, FALSE), 0 )</f>
        <v>0</v>
      </c>
      <c r="K208" s="16">
        <f>IF(ISNUMBER(MATCH(HAF[[#This Row],[Client Program Name]],Table6[Client Program],0)), VLOOKUP(HAF[[#This Row],[Client Program Name]],Table6[], 7, FALSE), VLOOKUP(HAF[[#This Row],[Client Program Name]],Table2[], 7, FALSE) )</f>
        <v>2143</v>
      </c>
      <c r="L208" s="16">
        <v>485</v>
      </c>
      <c r="M208" s="16">
        <f>IF(ISNUMBER(MATCH(HAF[[#This Row],[Client Program Name]],Table6[Client Program],0)), VLOOKUP(HAF[[#This Row],[Client Program Name]],Table6[], 9, FALSE), 0 )</f>
        <v>0</v>
      </c>
      <c r="N208" s="16">
        <f>IF(ISNUMBER(MATCH(HAF[[#This Row],[Client Program Name]],Table6[Client Program],0)), VLOOKUP(HAF[[#This Row],[Client Program Name]],Table6[], 10, FALSE), VLOOKUP(HAF[[#This Row],[Client Program Name]],Table2[], 8, FALSE) )</f>
        <v>2628</v>
      </c>
      <c r="O208" s="16">
        <v>6250</v>
      </c>
      <c r="P208" s="3"/>
      <c r="Q208" s="14"/>
    </row>
    <row r="209" spans="1:17" x14ac:dyDescent="0.35">
      <c r="A209" s="14" t="s">
        <v>249</v>
      </c>
      <c r="B209" s="14" t="str">
        <f>IF(HAF[[#This Row],[Program]]="Housing Accelerator Fund", "Round One", "Round Two")</f>
        <v>Round Two</v>
      </c>
      <c r="C209" s="14" t="s">
        <v>302</v>
      </c>
      <c r="D209" s="14" t="s">
        <v>170</v>
      </c>
      <c r="E209" s="14" t="s">
        <v>17</v>
      </c>
      <c r="F209" s="14" t="s">
        <v>11</v>
      </c>
      <c r="G209" s="15">
        <v>45646</v>
      </c>
      <c r="H209" s="15" t="str">
        <f>MID(HAF[[#This Row],[Client Program Name]], SEARCH( "-",HAF[[#This Row],[Client Program Name]])+1,LEN(HAF[[#This Row],[Client Program Name]])-(SEARCH( "-",HAF[[#This Row],[Client Program Name]])-1))</f>
        <v xml:space="preserve"> The Municipality of North Middlesex</v>
      </c>
      <c r="I209" s="16">
        <v>1898943</v>
      </c>
      <c r="J209" s="16">
        <f>IF(ISNUMBER(MATCH(HAF[[#This Row],[Client Program Name]],Table6[Client Program],0)), VLOOKUP(HAF[[#This Row],[Client Program Name]],Table6[], 6, FALSE), 0 )</f>
        <v>0</v>
      </c>
      <c r="K209" s="16">
        <f>IF(ISNUMBER(MATCH(HAF[[#This Row],[Client Program Name]],Table6[Client Program],0)), VLOOKUP(HAF[[#This Row],[Client Program Name]],Table6[], 7, FALSE), VLOOKUP(HAF[[#This Row],[Client Program Name]],Table2[], 7, FALSE) )</f>
        <v>72</v>
      </c>
      <c r="L209" s="16">
        <v>58</v>
      </c>
      <c r="M209" s="16">
        <f>IF(ISNUMBER(MATCH(HAF[[#This Row],[Client Program Name]],Table6[Client Program],0)), VLOOKUP(HAF[[#This Row],[Client Program Name]],Table6[], 9, FALSE), 0 )</f>
        <v>0</v>
      </c>
      <c r="N209" s="16">
        <f>IF(ISNUMBER(MATCH(HAF[[#This Row],[Client Program Name]],Table6[Client Program],0)), VLOOKUP(HAF[[#This Row],[Client Program Name]],Table6[], 10, FALSE), VLOOKUP(HAF[[#This Row],[Client Program Name]],Table2[], 8, FALSE) )</f>
        <v>130</v>
      </c>
      <c r="O209" s="16">
        <v>335</v>
      </c>
      <c r="P209" s="3"/>
      <c r="Q209" s="14"/>
    </row>
    <row r="210" spans="1:17" x14ac:dyDescent="0.35">
      <c r="A210" s="14" t="s">
        <v>249</v>
      </c>
      <c r="B210" s="14" t="str">
        <f>IF(HAF[[#This Row],[Program]]="Housing Accelerator Fund", "Round One", "Round Two")</f>
        <v>Round Two</v>
      </c>
      <c r="C210" s="14" t="s">
        <v>303</v>
      </c>
      <c r="D210" s="14" t="s">
        <v>170</v>
      </c>
      <c r="E210" s="14" t="s">
        <v>17</v>
      </c>
      <c r="F210" s="14" t="s">
        <v>11</v>
      </c>
      <c r="G210" s="15">
        <v>45678</v>
      </c>
      <c r="H210" s="15" t="str">
        <f>MID(HAF[[#This Row],[Client Program Name]], SEARCH( "-",HAF[[#This Row],[Client Program Name]])+1,LEN(HAF[[#This Row],[Client Program Name]])-(SEARCH( "-",HAF[[#This Row],[Client Program Name]])-1))</f>
        <v xml:space="preserve"> Lucan Biddulph</v>
      </c>
      <c r="I210" s="16">
        <v>2625313.7999999998</v>
      </c>
      <c r="J210" s="16">
        <f>IF(ISNUMBER(MATCH(HAF[[#This Row],[Client Program Name]],Table6[Client Program],0)), VLOOKUP(HAF[[#This Row],[Client Program Name]],Table6[], 6, FALSE), 0 )</f>
        <v>0</v>
      </c>
      <c r="K210" s="16">
        <f>IF(ISNUMBER(MATCH(HAF[[#This Row],[Client Program Name]],Table6[Client Program],0)), VLOOKUP(HAF[[#This Row],[Client Program Name]],Table6[], 7, FALSE), VLOOKUP(HAF[[#This Row],[Client Program Name]],Table2[], 7, FALSE) )</f>
        <v>270</v>
      </c>
      <c r="L210" s="16">
        <v>73</v>
      </c>
      <c r="M210" s="16">
        <f>IF(ISNUMBER(MATCH(HAF[[#This Row],[Client Program Name]],Table6[Client Program],0)), VLOOKUP(HAF[[#This Row],[Client Program Name]],Table6[], 9, FALSE), 0 )</f>
        <v>0</v>
      </c>
      <c r="N210" s="16">
        <f>IF(ISNUMBER(MATCH(HAF[[#This Row],[Client Program Name]],Table6[Client Program],0)), VLOOKUP(HAF[[#This Row],[Client Program Name]],Table6[], 10, FALSE), VLOOKUP(HAF[[#This Row],[Client Program Name]],Table2[], 8, FALSE) )</f>
        <v>343</v>
      </c>
      <c r="O210" s="16">
        <v>385</v>
      </c>
      <c r="P210" s="3"/>
      <c r="Q210" s="14"/>
    </row>
    <row r="211" spans="1:17" x14ac:dyDescent="0.35">
      <c r="A211" s="14" t="s">
        <v>249</v>
      </c>
      <c r="B211" s="14" t="str">
        <f>IF(HAF[[#This Row],[Program]]="Housing Accelerator Fund", "Round One", "Round Two")</f>
        <v>Round Two</v>
      </c>
      <c r="C211" s="14" t="s">
        <v>304</v>
      </c>
      <c r="D211" s="14" t="s">
        <v>170</v>
      </c>
      <c r="E211" s="14" t="s">
        <v>17</v>
      </c>
      <c r="F211" s="14" t="s">
        <v>11</v>
      </c>
      <c r="G211" s="15">
        <v>45635</v>
      </c>
      <c r="H211" s="15" t="str">
        <f>MID(HAF[[#This Row],[Client Program Name]], SEARCH( "-",HAF[[#This Row],[Client Program Name]])+1,LEN(HAF[[#This Row],[Client Program Name]])-(SEARCH( "-",HAF[[#This Row],[Client Program Name]])-1))</f>
        <v xml:space="preserve"> Seguin Township</v>
      </c>
      <c r="I211" s="16">
        <v>1568800</v>
      </c>
      <c r="J211" s="16">
        <f>IF(ISNUMBER(MATCH(HAF[[#This Row],[Client Program Name]],Table6[Client Program],0)), VLOOKUP(HAF[[#This Row],[Client Program Name]],Table6[], 6, FALSE), 0 )</f>
        <v>0</v>
      </c>
      <c r="K211" s="16">
        <f>IF(ISNUMBER(MATCH(HAF[[#This Row],[Client Program Name]],Table6[Client Program],0)), VLOOKUP(HAF[[#This Row],[Client Program Name]],Table6[], 7, FALSE), VLOOKUP(HAF[[#This Row],[Client Program Name]],Table2[], 7, FALSE) )</f>
        <v>240</v>
      </c>
      <c r="L211" s="16">
        <v>64</v>
      </c>
      <c r="M211" s="16">
        <f>IF(ISNUMBER(MATCH(HAF[[#This Row],[Client Program Name]],Table6[Client Program],0)), VLOOKUP(HAF[[#This Row],[Client Program Name]],Table6[], 9, FALSE), 0 )</f>
        <v>0</v>
      </c>
      <c r="N211" s="16">
        <f>IF(ISNUMBER(MATCH(HAF[[#This Row],[Client Program Name]],Table6[Client Program],0)), VLOOKUP(HAF[[#This Row],[Client Program Name]],Table6[], 10, FALSE), VLOOKUP(HAF[[#This Row],[Client Program Name]],Table2[], 8, FALSE) )</f>
        <v>304</v>
      </c>
      <c r="O211" s="16">
        <v>254</v>
      </c>
      <c r="P211" s="3"/>
      <c r="Q211" s="14"/>
    </row>
    <row r="212" spans="1:17" x14ac:dyDescent="0.35">
      <c r="A212" s="14" t="s">
        <v>249</v>
      </c>
      <c r="B212" s="14" t="str">
        <f>IF(HAF[[#This Row],[Program]]="Housing Accelerator Fund", "Round One", "Round Two")</f>
        <v>Round Two</v>
      </c>
      <c r="C212" s="14" t="s">
        <v>305</v>
      </c>
      <c r="D212" s="14" t="s">
        <v>170</v>
      </c>
      <c r="E212" s="14" t="s">
        <v>17</v>
      </c>
      <c r="F212" s="14" t="s">
        <v>11</v>
      </c>
      <c r="G212" s="15">
        <v>45638</v>
      </c>
      <c r="H212" s="15" t="str">
        <f>MID(HAF[[#This Row],[Client Program Name]], SEARCH( "-",HAF[[#This Row],[Client Program Name]])+1,LEN(HAF[[#This Row],[Client Program Name]])-(SEARCH( "-",HAF[[#This Row],[Client Program Name]])-1))</f>
        <v xml:space="preserve"> Town of Espanola</v>
      </c>
      <c r="I212" s="16">
        <v>2047000</v>
      </c>
      <c r="J212" s="16">
        <f>IF(ISNUMBER(MATCH(HAF[[#This Row],[Client Program Name]],Table6[Client Program],0)), VLOOKUP(HAF[[#This Row],[Client Program Name]],Table6[], 6, FALSE), 0 )</f>
        <v>0</v>
      </c>
      <c r="K212" s="16">
        <f>IF(ISNUMBER(MATCH(HAF[[#This Row],[Client Program Name]],Table6[Client Program],0)), VLOOKUP(HAF[[#This Row],[Client Program Name]],Table6[], 7, FALSE), VLOOKUP(HAF[[#This Row],[Client Program Name]],Table2[], 7, FALSE) )</f>
        <v>36</v>
      </c>
      <c r="L212" s="16">
        <v>64</v>
      </c>
      <c r="M212" s="16">
        <f>IF(ISNUMBER(MATCH(HAF[[#This Row],[Client Program Name]],Table6[Client Program],0)), VLOOKUP(HAF[[#This Row],[Client Program Name]],Table6[], 9, FALSE), 0 )</f>
        <v>0</v>
      </c>
      <c r="N212" s="16">
        <f>IF(ISNUMBER(MATCH(HAF[[#This Row],[Client Program Name]],Table6[Client Program],0)), VLOOKUP(HAF[[#This Row],[Client Program Name]],Table6[], 10, FALSE), VLOOKUP(HAF[[#This Row],[Client Program Name]],Table2[], 8, FALSE) )</f>
        <v>100</v>
      </c>
      <c r="O212" s="16">
        <v>400</v>
      </c>
      <c r="P212" s="3"/>
      <c r="Q212" s="14"/>
    </row>
    <row r="213" spans="1:17" x14ac:dyDescent="0.35">
      <c r="A213" s="14" t="s">
        <v>249</v>
      </c>
      <c r="B213" s="14" t="str">
        <f>IF(HAF[[#This Row],[Program]]="Housing Accelerator Fund", "Round One", "Round Two")</f>
        <v>Round Two</v>
      </c>
      <c r="C213" s="14" t="s">
        <v>306</v>
      </c>
      <c r="D213" s="14" t="s">
        <v>170</v>
      </c>
      <c r="E213" s="14" t="s">
        <v>17</v>
      </c>
      <c r="F213" s="14" t="s">
        <v>11</v>
      </c>
      <c r="G213" s="15">
        <v>45632</v>
      </c>
      <c r="H213" s="15" t="str">
        <f>MID(HAF[[#This Row],[Client Program Name]], SEARCH( "-",HAF[[#This Row],[Client Program Name]])+1,LEN(HAF[[#This Row],[Client Program Name]])-(SEARCH( "-",HAF[[#This Row],[Client Program Name]])-1))</f>
        <v xml:space="preserve"> The Corporation of the Municipality of Brockton</v>
      </c>
      <c r="I213" s="16">
        <v>3421221</v>
      </c>
      <c r="J213" s="16">
        <f>IF(ISNUMBER(MATCH(HAF[[#This Row],[Client Program Name]],Table6[Client Program],0)), VLOOKUP(HAF[[#This Row],[Client Program Name]],Table6[], 6, FALSE), 0 )</f>
        <v>0</v>
      </c>
      <c r="K213" s="16">
        <f>IF(ISNUMBER(MATCH(HAF[[#This Row],[Client Program Name]],Table6[Client Program],0)), VLOOKUP(HAF[[#This Row],[Client Program Name]],Table6[], 7, FALSE), VLOOKUP(HAF[[#This Row],[Client Program Name]],Table2[], 7, FALSE) )</f>
        <v>332</v>
      </c>
      <c r="L213" s="16">
        <v>101</v>
      </c>
      <c r="M213" s="16">
        <f>IF(ISNUMBER(MATCH(HAF[[#This Row],[Client Program Name]],Table6[Client Program],0)), VLOOKUP(HAF[[#This Row],[Client Program Name]],Table6[], 9, FALSE), 0 )</f>
        <v>0</v>
      </c>
      <c r="N213" s="16">
        <f>IF(ISNUMBER(MATCH(HAF[[#This Row],[Client Program Name]],Table6[Client Program],0)), VLOOKUP(HAF[[#This Row],[Client Program Name]],Table6[], 10, FALSE), VLOOKUP(HAF[[#This Row],[Client Program Name]],Table2[], 8, FALSE) )</f>
        <v>433</v>
      </c>
      <c r="O213" s="16">
        <v>356</v>
      </c>
      <c r="P213" s="3"/>
      <c r="Q213" s="14"/>
    </row>
    <row r="214" spans="1:17" x14ac:dyDescent="0.35">
      <c r="A214" s="14" t="s">
        <v>249</v>
      </c>
      <c r="B214" s="14" t="str">
        <f>IF(HAF[[#This Row],[Program]]="Housing Accelerator Fund", "Round One", "Round Two")</f>
        <v>Round Two</v>
      </c>
      <c r="C214" s="14" t="s">
        <v>307</v>
      </c>
      <c r="D214" s="14" t="s">
        <v>170</v>
      </c>
      <c r="E214" s="14" t="s">
        <v>17</v>
      </c>
      <c r="F214" s="14" t="s">
        <v>18</v>
      </c>
      <c r="G214" s="15">
        <v>45674</v>
      </c>
      <c r="H214" s="15" t="str">
        <f>MID(HAF[[#This Row],[Client Program Name]], SEARCH( "-",HAF[[#This Row],[Client Program Name]])+1,LEN(HAF[[#This Row],[Client Program Name]])-(SEARCH( "-",HAF[[#This Row],[Client Program Name]])-1))</f>
        <v xml:space="preserve"> Ginoogaming First Nation</v>
      </c>
      <c r="I214" s="16">
        <v>710000</v>
      </c>
      <c r="J214" s="16">
        <f>IF(ISNUMBER(MATCH(HAF[[#This Row],[Client Program Name]],Table6[Client Program],0)), VLOOKUP(HAF[[#This Row],[Client Program Name]],Table6[], 6, FALSE), 0 )</f>
        <v>0</v>
      </c>
      <c r="K214" s="16">
        <f>IF(ISNUMBER(MATCH(HAF[[#This Row],[Client Program Name]],Table6[Client Program],0)), VLOOKUP(HAF[[#This Row],[Client Program Name]],Table6[], 7, FALSE), VLOOKUP(HAF[[#This Row],[Client Program Name]],Table2[], 7, FALSE) )</f>
        <v>3</v>
      </c>
      <c r="L214" s="16">
        <v>10</v>
      </c>
      <c r="M214" s="16">
        <f>IF(ISNUMBER(MATCH(HAF[[#This Row],[Client Program Name]],Table6[Client Program],0)), VLOOKUP(HAF[[#This Row],[Client Program Name]],Table6[], 9, FALSE), 0 )</f>
        <v>0</v>
      </c>
      <c r="N214" s="16">
        <f>IF(ISNUMBER(MATCH(HAF[[#This Row],[Client Program Name]],Table6[Client Program],0)), VLOOKUP(HAF[[#This Row],[Client Program Name]],Table6[], 10, FALSE), VLOOKUP(HAF[[#This Row],[Client Program Name]],Table2[], 8, FALSE) )</f>
        <v>13</v>
      </c>
      <c r="O214" s="16">
        <v>465</v>
      </c>
      <c r="P214" s="3"/>
      <c r="Q214" s="14"/>
    </row>
    <row r="215" spans="1:17" x14ac:dyDescent="0.35">
      <c r="A215" s="14" t="s">
        <v>249</v>
      </c>
      <c r="B215" s="14" t="str">
        <f>IF(HAF[[#This Row],[Program]]="Housing Accelerator Fund", "Round One", "Round Two")</f>
        <v>Round Two</v>
      </c>
      <c r="C215" s="14" t="s">
        <v>308</v>
      </c>
      <c r="D215" s="14" t="s">
        <v>170</v>
      </c>
      <c r="E215" s="14" t="s">
        <v>17</v>
      </c>
      <c r="F215" s="14" t="s">
        <v>18</v>
      </c>
      <c r="G215" s="15">
        <v>45639</v>
      </c>
      <c r="H215" s="15" t="str">
        <f>MID(HAF[[#This Row],[Client Program Name]], SEARCH( "-",HAF[[#This Row],[Client Program Name]])+1,LEN(HAF[[#This Row],[Client Program Name]])-(SEARCH( "-",HAF[[#This Row],[Client Program Name]])-1))</f>
        <v xml:space="preserve"> Temagami First Nation</v>
      </c>
      <c r="I215" s="16">
        <v>426000</v>
      </c>
      <c r="J215" s="16">
        <f>IF(ISNUMBER(MATCH(HAF[[#This Row],[Client Program Name]],Table6[Client Program],0)), VLOOKUP(HAF[[#This Row],[Client Program Name]],Table6[], 6, FALSE), 0 )</f>
        <v>0</v>
      </c>
      <c r="K215" s="16">
        <f>IF(ISNUMBER(MATCH(HAF[[#This Row],[Client Program Name]],Table6[Client Program],0)), VLOOKUP(HAF[[#This Row],[Client Program Name]],Table6[], 7, FALSE), VLOOKUP(HAF[[#This Row],[Client Program Name]],Table2[], 7, FALSE) )</f>
        <v>6</v>
      </c>
      <c r="L215" s="16">
        <v>6</v>
      </c>
      <c r="M215" s="16">
        <f>IF(ISNUMBER(MATCH(HAF[[#This Row],[Client Program Name]],Table6[Client Program],0)), VLOOKUP(HAF[[#This Row],[Client Program Name]],Table6[], 9, FALSE), 0 )</f>
        <v>0</v>
      </c>
      <c r="N215" s="16">
        <f>IF(ISNUMBER(MATCH(HAF[[#This Row],[Client Program Name]],Table6[Client Program],0)), VLOOKUP(HAF[[#This Row],[Client Program Name]],Table6[], 10, FALSE), VLOOKUP(HAF[[#This Row],[Client Program Name]],Table2[], 8, FALSE) )</f>
        <v>12</v>
      </c>
      <c r="O215" s="16">
        <v>41</v>
      </c>
      <c r="P215" s="3"/>
      <c r="Q215" s="14"/>
    </row>
    <row r="216" spans="1:17" x14ac:dyDescent="0.35">
      <c r="A216" s="14" t="s">
        <v>248</v>
      </c>
      <c r="B216" s="14" t="str">
        <f>IF(HAF[[#This Row],[Program]]="Housing Accelerator Fund", "Round One", "Round Two")</f>
        <v>Round One</v>
      </c>
      <c r="C216" s="14" t="s">
        <v>243</v>
      </c>
      <c r="D216" s="14" t="s">
        <v>210</v>
      </c>
      <c r="E216" s="14" t="s">
        <v>10</v>
      </c>
      <c r="F216" s="14" t="s">
        <v>11</v>
      </c>
      <c r="G216" s="15">
        <v>45331</v>
      </c>
      <c r="H216" s="15" t="str">
        <f>MID(HAF[[#This Row],[Client Program Name]], SEARCH( "-",HAF[[#This Row],[Client Program Name]])+1,LEN(HAF[[#This Row],[Client Program Name]])-(SEARCH( "-",HAF[[#This Row],[Client Program Name]])-1))</f>
        <v xml:space="preserve"> Town of Stratford</v>
      </c>
      <c r="I216" s="16">
        <v>4991477</v>
      </c>
      <c r="J216" s="16">
        <f>IF(ISNUMBER(MATCH(HAF[[#This Row],[Client Program Name]],Table6[Client Program],0)), VLOOKUP(HAF[[#This Row],[Client Program Name]],Table6[], 6, FALSE), 0 )</f>
        <v>4991477</v>
      </c>
      <c r="K216" s="16">
        <f>IF(ISNUMBER(MATCH(HAF[[#This Row],[Client Program Name]],Table6[Client Program],0)), VLOOKUP(HAF[[#This Row],[Client Program Name]],Table6[], 7, FALSE), VLOOKUP(HAF[[#This Row],[Client Program Name]],Table2[], 7, FALSE) )</f>
        <v>509</v>
      </c>
      <c r="L216" s="16">
        <v>178</v>
      </c>
      <c r="M216" s="16">
        <f>IF(ISNUMBER(MATCH(HAF[[#This Row],[Client Program Name]],Table6[Client Program],0)), VLOOKUP(HAF[[#This Row],[Client Program Name]],Table6[], 9, FALSE), 0 )</f>
        <v>178</v>
      </c>
      <c r="N216" s="16">
        <f>IF(ISNUMBER(MATCH(HAF[[#This Row],[Client Program Name]],Table6[Client Program],0)), VLOOKUP(HAF[[#This Row],[Client Program Name]],Table6[], 10, FALSE), VLOOKUP(HAF[[#This Row],[Client Program Name]],Table2[], 8, FALSE) )</f>
        <v>687</v>
      </c>
      <c r="O216" s="16">
        <v>2017</v>
      </c>
      <c r="P216" s="3"/>
      <c r="Q216" s="14"/>
    </row>
    <row r="217" spans="1:17" x14ac:dyDescent="0.35">
      <c r="A217" s="14" t="s">
        <v>248</v>
      </c>
      <c r="B217" s="14" t="str">
        <f>IF(HAF[[#This Row],[Program]]="Housing Accelerator Fund", "Round One", "Round Two")</f>
        <v>Round One</v>
      </c>
      <c r="C217" s="14" t="s">
        <v>209</v>
      </c>
      <c r="D217" s="14" t="s">
        <v>210</v>
      </c>
      <c r="E217" s="14" t="s">
        <v>10</v>
      </c>
      <c r="F217" s="14" t="s">
        <v>11</v>
      </c>
      <c r="G217" s="15">
        <v>45315</v>
      </c>
      <c r="H217" s="15" t="str">
        <f>MID(HAF[[#This Row],[Client Program Name]], SEARCH( "-",HAF[[#This Row],[Client Program Name]])+1,LEN(HAF[[#This Row],[Client Program Name]])-(SEARCH( "-",HAF[[#This Row],[Client Program Name]])-1))</f>
        <v xml:space="preserve"> Charlottetown</v>
      </c>
      <c r="I217" s="16">
        <v>10059000</v>
      </c>
      <c r="J217" s="16">
        <f>IF(ISNUMBER(MATCH(HAF[[#This Row],[Client Program Name]],Table6[Client Program],0)), VLOOKUP(HAF[[#This Row],[Client Program Name]],Table6[], 6, FALSE), 0 )</f>
        <v>10059000</v>
      </c>
      <c r="K217" s="16">
        <f>IF(ISNUMBER(MATCH(HAF[[#This Row],[Client Program Name]],Table6[Client Program],0)), VLOOKUP(HAF[[#This Row],[Client Program Name]],Table6[], 7, FALSE), VLOOKUP(HAF[[#This Row],[Client Program Name]],Table2[], 7, FALSE) )</f>
        <v>1200</v>
      </c>
      <c r="L217" s="16">
        <v>300</v>
      </c>
      <c r="M217" s="16">
        <f>IF(ISNUMBER(MATCH(HAF[[#This Row],[Client Program Name]],Table6[Client Program],0)), VLOOKUP(HAF[[#This Row],[Client Program Name]],Table6[], 9, FALSE), 0 )</f>
        <v>300</v>
      </c>
      <c r="N217" s="16">
        <f>IF(ISNUMBER(MATCH(HAF[[#This Row],[Client Program Name]],Table6[Client Program],0)), VLOOKUP(HAF[[#This Row],[Client Program Name]],Table6[], 10, FALSE), VLOOKUP(HAF[[#This Row],[Client Program Name]],Table2[], 8, FALSE) )</f>
        <v>1500</v>
      </c>
      <c r="O217" s="16">
        <v>1050</v>
      </c>
      <c r="P217" s="3"/>
      <c r="Q217" s="14"/>
    </row>
    <row r="218" spans="1:17" x14ac:dyDescent="0.35">
      <c r="A218" s="14" t="s">
        <v>248</v>
      </c>
      <c r="B218" s="14" t="str">
        <f>IF(HAF[[#This Row],[Program]]="Housing Accelerator Fund", "Round One", "Round Two")</f>
        <v>Round One</v>
      </c>
      <c r="C218" s="14" t="s">
        <v>211</v>
      </c>
      <c r="D218" s="14" t="s">
        <v>210</v>
      </c>
      <c r="E218" s="14" t="s">
        <v>10</v>
      </c>
      <c r="F218" s="14" t="s">
        <v>11</v>
      </c>
      <c r="G218" s="15">
        <v>45267</v>
      </c>
      <c r="H218" s="15" t="str">
        <f>MID(HAF[[#This Row],[Client Program Name]], SEARCH( "-",HAF[[#This Row],[Client Program Name]])+1,LEN(HAF[[#This Row],[Client Program Name]])-(SEARCH( "-",HAF[[#This Row],[Client Program Name]])-1))</f>
        <v xml:space="preserve"> City of Summerside</v>
      </c>
      <c r="I218" s="16">
        <v>5765484.5</v>
      </c>
      <c r="J218" s="16">
        <f>IF(ISNUMBER(MATCH(HAF[[#This Row],[Client Program Name]],Table6[Client Program],0)), VLOOKUP(HAF[[#This Row],[Client Program Name]],Table6[], 6, FALSE), 0 )</f>
        <v>5765485</v>
      </c>
      <c r="K218" s="16">
        <f>IF(ISNUMBER(MATCH(HAF[[#This Row],[Client Program Name]],Table6[Client Program],0)), VLOOKUP(HAF[[#This Row],[Client Program Name]],Table6[], 7, FALSE), VLOOKUP(HAF[[#This Row],[Client Program Name]],Table2[], 7, FALSE) )</f>
        <v>545</v>
      </c>
      <c r="L218" s="16">
        <v>132</v>
      </c>
      <c r="M218" s="16">
        <f>IF(ISNUMBER(MATCH(HAF[[#This Row],[Client Program Name]],Table6[Client Program],0)), VLOOKUP(HAF[[#This Row],[Client Program Name]],Table6[], 9, FALSE), 0 )</f>
        <v>132</v>
      </c>
      <c r="N218" s="16">
        <f>IF(ISNUMBER(MATCH(HAF[[#This Row],[Client Program Name]],Table6[Client Program],0)), VLOOKUP(HAF[[#This Row],[Client Program Name]],Table6[], 10, FALSE), VLOOKUP(HAF[[#This Row],[Client Program Name]],Table2[], 8, FALSE) )</f>
        <v>677</v>
      </c>
      <c r="O218" s="16">
        <v>725</v>
      </c>
      <c r="P218" s="3"/>
      <c r="Q218" s="14"/>
    </row>
    <row r="219" spans="1:17" x14ac:dyDescent="0.35">
      <c r="A219" s="14" t="s">
        <v>248</v>
      </c>
      <c r="B219" s="14" t="str">
        <f>IF(HAF[[#This Row],[Program]]="Housing Accelerator Fund", "Round One", "Round Two")</f>
        <v>Round One</v>
      </c>
      <c r="C219" s="14" t="s">
        <v>215</v>
      </c>
      <c r="D219" s="14" t="s">
        <v>210</v>
      </c>
      <c r="E219" s="14" t="s">
        <v>17</v>
      </c>
      <c r="F219" s="14" t="s">
        <v>11</v>
      </c>
      <c r="G219" s="15">
        <v>45314</v>
      </c>
      <c r="H219" s="15" t="str">
        <f>MID(HAF[[#This Row],[Client Program Name]], SEARCH( "-",HAF[[#This Row],[Client Program Name]])+1,LEN(HAF[[#This Row],[Client Program Name]])-(SEARCH( "-",HAF[[#This Row],[Client Program Name]])-1))</f>
        <v xml:space="preserve"> Town of Three Rivers</v>
      </c>
      <c r="I219" s="16">
        <v>3472000</v>
      </c>
      <c r="J219" s="16">
        <f>IF(ISNUMBER(MATCH(HAF[[#This Row],[Client Program Name]],Table6[Client Program],0)), VLOOKUP(HAF[[#This Row],[Client Program Name]],Table6[], 6, FALSE), 0 )</f>
        <v>3472000</v>
      </c>
      <c r="K219" s="16">
        <f>IF(ISNUMBER(MATCH(HAF[[#This Row],[Client Program Name]],Table6[Client Program],0)), VLOOKUP(HAF[[#This Row],[Client Program Name]],Table6[], 7, FALSE), VLOOKUP(HAF[[#This Row],[Client Program Name]],Table2[], 7, FALSE) )</f>
        <v>159</v>
      </c>
      <c r="L219" s="16">
        <v>116</v>
      </c>
      <c r="M219" s="16">
        <f>IF(ISNUMBER(MATCH(HAF[[#This Row],[Client Program Name]],Table6[Client Program],0)), VLOOKUP(HAF[[#This Row],[Client Program Name]],Table6[], 9, FALSE), 0 )</f>
        <v>116</v>
      </c>
      <c r="N219" s="16">
        <f>IF(ISNUMBER(MATCH(HAF[[#This Row],[Client Program Name]],Table6[Client Program],0)), VLOOKUP(HAF[[#This Row],[Client Program Name]],Table6[], 10, FALSE), VLOOKUP(HAF[[#This Row],[Client Program Name]],Table2[], 8, FALSE) )</f>
        <v>275</v>
      </c>
      <c r="O219" s="16">
        <v>410</v>
      </c>
      <c r="P219" s="3"/>
      <c r="Q219" s="14"/>
    </row>
    <row r="220" spans="1:17" x14ac:dyDescent="0.35">
      <c r="A220" s="14" t="s">
        <v>248</v>
      </c>
      <c r="B220" s="14" t="str">
        <f>IF(HAF[[#This Row],[Program]]="Housing Accelerator Fund", "Round One", "Round Two")</f>
        <v>Round One</v>
      </c>
      <c r="C220" s="14" t="s">
        <v>212</v>
      </c>
      <c r="D220" s="14" t="s">
        <v>210</v>
      </c>
      <c r="E220" s="14" t="s">
        <v>17</v>
      </c>
      <c r="F220" s="14" t="s">
        <v>11</v>
      </c>
      <c r="G220" s="15">
        <v>45314</v>
      </c>
      <c r="H220" s="15" t="str">
        <f>MID(HAF[[#This Row],[Client Program Name]], SEARCH( "-",HAF[[#This Row],[Client Program Name]])+1,LEN(HAF[[#This Row],[Client Program Name]])-(SEARCH( "-",HAF[[#This Row],[Client Program Name]])-1))</f>
        <v xml:space="preserve"> Rural Municipality of Wellington</v>
      </c>
      <c r="I220" s="16">
        <v>478979.1</v>
      </c>
      <c r="J220" s="16">
        <f>IF(ISNUMBER(MATCH(HAF[[#This Row],[Client Program Name]],Table6[Client Program],0)), VLOOKUP(HAF[[#This Row],[Client Program Name]],Table6[], 6, FALSE), 0 )</f>
        <v>478979</v>
      </c>
      <c r="K220" s="16">
        <f>IF(ISNUMBER(MATCH(HAF[[#This Row],[Client Program Name]],Table6[Client Program],0)), VLOOKUP(HAF[[#This Row],[Client Program Name]],Table6[], 7, FALSE), VLOOKUP(HAF[[#This Row],[Client Program Name]],Table2[], 7, FALSE) )</f>
        <v>45</v>
      </c>
      <c r="L220" s="16">
        <v>12</v>
      </c>
      <c r="M220" s="16">
        <f>IF(ISNUMBER(MATCH(HAF[[#This Row],[Client Program Name]],Table6[Client Program],0)), VLOOKUP(HAF[[#This Row],[Client Program Name]],Table6[], 9, FALSE), 0 )</f>
        <v>12</v>
      </c>
      <c r="N220" s="16">
        <f>IF(ISNUMBER(MATCH(HAF[[#This Row],[Client Program Name]],Table6[Client Program],0)), VLOOKUP(HAF[[#This Row],[Client Program Name]],Table6[], 10, FALSE), VLOOKUP(HAF[[#This Row],[Client Program Name]],Table2[], 8, FALSE) )</f>
        <v>57</v>
      </c>
      <c r="O220" s="16">
        <v>95</v>
      </c>
      <c r="P220" s="3"/>
      <c r="Q220" s="14"/>
    </row>
    <row r="221" spans="1:17" x14ac:dyDescent="0.35">
      <c r="A221" s="14" t="s">
        <v>248</v>
      </c>
      <c r="B221" s="14" t="str">
        <f>IF(HAF[[#This Row],[Program]]="Housing Accelerator Fund", "Round One", "Round Two")</f>
        <v>Round One</v>
      </c>
      <c r="C221" s="14" t="s">
        <v>213</v>
      </c>
      <c r="D221" s="14" t="s">
        <v>210</v>
      </c>
      <c r="E221" s="14" t="s">
        <v>17</v>
      </c>
      <c r="F221" s="14" t="s">
        <v>11</v>
      </c>
      <c r="G221" s="15">
        <v>45322</v>
      </c>
      <c r="H221" s="15" t="str">
        <f>MID(HAF[[#This Row],[Client Program Name]], SEARCH( "-",HAF[[#This Row],[Client Program Name]])+1,LEN(HAF[[#This Row],[Client Program Name]])-(SEARCH( "-",HAF[[#This Row],[Client Program Name]])-1))</f>
        <v xml:space="preserve"> Town of Cornwall</v>
      </c>
      <c r="I221" s="16">
        <v>4260658</v>
      </c>
      <c r="J221" s="16">
        <f>IF(ISNUMBER(MATCH(HAF[[#This Row],[Client Program Name]],Table6[Client Program],0)), VLOOKUP(HAF[[#This Row],[Client Program Name]],Table6[], 6, FALSE), 0 )</f>
        <v>4260658</v>
      </c>
      <c r="K221" s="16">
        <f>IF(ISNUMBER(MATCH(HAF[[#This Row],[Client Program Name]],Table6[Client Program],0)), VLOOKUP(HAF[[#This Row],[Client Program Name]],Table6[], 7, FALSE), VLOOKUP(HAF[[#This Row],[Client Program Name]],Table2[], 7, FALSE) )</f>
        <v>344</v>
      </c>
      <c r="L221" s="16">
        <v>142</v>
      </c>
      <c r="M221" s="16">
        <f>IF(ISNUMBER(MATCH(HAF[[#This Row],[Client Program Name]],Table6[Client Program],0)), VLOOKUP(HAF[[#This Row],[Client Program Name]],Table6[], 9, FALSE), 0 )</f>
        <v>142</v>
      </c>
      <c r="N221" s="16">
        <f>IF(ISNUMBER(MATCH(HAF[[#This Row],[Client Program Name]],Table6[Client Program],0)), VLOOKUP(HAF[[#This Row],[Client Program Name]],Table6[], 10, FALSE), VLOOKUP(HAF[[#This Row],[Client Program Name]],Table2[], 8, FALSE) )</f>
        <v>486</v>
      </c>
      <c r="O221" s="16">
        <v>522</v>
      </c>
      <c r="P221" s="3"/>
      <c r="Q221" s="14"/>
    </row>
    <row r="222" spans="1:17" x14ac:dyDescent="0.35">
      <c r="A222" s="14" t="s">
        <v>248</v>
      </c>
      <c r="B222" s="14" t="str">
        <f>IF(HAF[[#This Row],[Program]]="Housing Accelerator Fund", "Round One", "Round Two")</f>
        <v>Round One</v>
      </c>
      <c r="C222" s="14" t="s">
        <v>214</v>
      </c>
      <c r="D222" s="14" t="s">
        <v>210</v>
      </c>
      <c r="E222" s="14" t="s">
        <v>17</v>
      </c>
      <c r="F222" s="14" t="s">
        <v>11</v>
      </c>
      <c r="G222" s="15">
        <v>45315</v>
      </c>
      <c r="H222" s="15" t="str">
        <f>MID(HAF[[#This Row],[Client Program Name]], SEARCH( "-",HAF[[#This Row],[Client Program Name]])+1,LEN(HAF[[#This Row],[Client Program Name]])-(SEARCH( "-",HAF[[#This Row],[Client Program Name]])-1))</f>
        <v xml:space="preserve"> Town of O'Leary</v>
      </c>
      <c r="I222" s="16">
        <v>590982.9</v>
      </c>
      <c r="J222" s="16">
        <f>IF(ISNUMBER(MATCH(HAF[[#This Row],[Client Program Name]],Table6[Client Program],0)), VLOOKUP(HAF[[#This Row],[Client Program Name]],Table6[], 6, FALSE), 0 )</f>
        <v>590983</v>
      </c>
      <c r="K222" s="16">
        <f>IF(ISNUMBER(MATCH(HAF[[#This Row],[Client Program Name]],Table6[Client Program],0)), VLOOKUP(HAF[[#This Row],[Client Program Name]],Table6[], 7, FALSE), VLOOKUP(HAF[[#This Row],[Client Program Name]],Table2[], 7, FALSE) )</f>
        <v>12</v>
      </c>
      <c r="L222" s="16">
        <v>15</v>
      </c>
      <c r="M222" s="16">
        <f>IF(ISNUMBER(MATCH(HAF[[#This Row],[Client Program Name]],Table6[Client Program],0)), VLOOKUP(HAF[[#This Row],[Client Program Name]],Table6[], 9, FALSE), 0 )</f>
        <v>15</v>
      </c>
      <c r="N222" s="16">
        <f>IF(ISNUMBER(MATCH(HAF[[#This Row],[Client Program Name]],Table6[Client Program],0)), VLOOKUP(HAF[[#This Row],[Client Program Name]],Table6[], 10, FALSE), VLOOKUP(HAF[[#This Row],[Client Program Name]],Table2[], 8, FALSE) )</f>
        <v>27</v>
      </c>
      <c r="O222" s="16">
        <v>59</v>
      </c>
      <c r="P222" s="3"/>
      <c r="Q222" s="14"/>
    </row>
    <row r="223" spans="1:17" x14ac:dyDescent="0.35">
      <c r="A223" s="14" t="s">
        <v>249</v>
      </c>
      <c r="B223" s="14" t="str">
        <f>IF(HAF[[#This Row],[Program]]="Housing Accelerator Fund", "Round One", "Round Two")</f>
        <v>Round Two</v>
      </c>
      <c r="C223" s="14" t="s">
        <v>309</v>
      </c>
      <c r="D223" s="14" t="s">
        <v>210</v>
      </c>
      <c r="E223" s="14" t="s">
        <v>17</v>
      </c>
      <c r="F223" s="14" t="s">
        <v>11</v>
      </c>
      <c r="G223" s="15">
        <v>45642</v>
      </c>
      <c r="H223" s="15" t="str">
        <f>MID(HAF[[#This Row],[Client Program Name]], SEARCH( "-",HAF[[#This Row],[Client Program Name]])+1,LEN(HAF[[#This Row],[Client Program Name]])-(SEARCH( "-",HAF[[#This Row],[Client Program Name]])-1))</f>
        <v xml:space="preserve"> Town of Alberton</v>
      </c>
      <c r="I223" s="16">
        <v>910058.6</v>
      </c>
      <c r="J223" s="16">
        <f>IF(ISNUMBER(MATCH(HAF[[#This Row],[Client Program Name]],Table6[Client Program],0)), VLOOKUP(HAF[[#This Row],[Client Program Name]],Table6[], 6, FALSE), 0 )</f>
        <v>0</v>
      </c>
      <c r="K223" s="16">
        <f>IF(ISNUMBER(MATCH(HAF[[#This Row],[Client Program Name]],Table6[Client Program],0)), VLOOKUP(HAF[[#This Row],[Client Program Name]],Table6[], 7, FALSE), VLOOKUP(HAF[[#This Row],[Client Program Name]],Table2[], 7, FALSE) )</f>
        <v>58</v>
      </c>
      <c r="L223" s="16">
        <v>21</v>
      </c>
      <c r="M223" s="16">
        <f>IF(ISNUMBER(MATCH(HAF[[#This Row],[Client Program Name]],Table6[Client Program],0)), VLOOKUP(HAF[[#This Row],[Client Program Name]],Table6[], 9, FALSE), 0 )</f>
        <v>0</v>
      </c>
      <c r="N223" s="16">
        <f>IF(ISNUMBER(MATCH(HAF[[#This Row],[Client Program Name]],Table6[Client Program],0)), VLOOKUP(HAF[[#This Row],[Client Program Name]],Table6[], 10, FALSE), VLOOKUP(HAF[[#This Row],[Client Program Name]],Table2[], 8, FALSE) )</f>
        <v>79</v>
      </c>
      <c r="O223" s="16">
        <v>79</v>
      </c>
      <c r="P223" s="3"/>
      <c r="Q223" s="14"/>
    </row>
    <row r="224" spans="1:17" x14ac:dyDescent="0.35">
      <c r="A224" s="14" t="s">
        <v>248</v>
      </c>
      <c r="B224" s="14" t="str">
        <f>IF(HAF[[#This Row],[Program]]="Housing Accelerator Fund", "Round One", "Round Two")</f>
        <v>Round One</v>
      </c>
      <c r="C224" s="14" t="s">
        <v>216</v>
      </c>
      <c r="D224" s="14" t="s">
        <v>217</v>
      </c>
      <c r="E224" s="19" t="s">
        <v>10</v>
      </c>
      <c r="F224" s="19" t="s">
        <v>218</v>
      </c>
      <c r="G224" s="15">
        <v>45223</v>
      </c>
      <c r="H224" s="15" t="str">
        <f>MID(HAF[[#This Row],[Client Program Name]], SEARCH( "-",HAF[[#This Row],[Client Program Name]])+1,LEN(HAF[[#This Row],[Client Program Name]])-(SEARCH( "-",HAF[[#This Row],[Client Program Name]])-1))</f>
        <v xml:space="preserve"> La province de Québec</v>
      </c>
      <c r="I224" s="16">
        <v>900000000</v>
      </c>
      <c r="J224" s="16">
        <f>IF(ISNUMBER(MATCH(HAF[[#This Row],[Client Program Name]],Table6[Client Program],0)), VLOOKUP(HAF[[#This Row],[Client Program Name]],Table6[], 6, FALSE), 0 )</f>
        <v>900000000</v>
      </c>
      <c r="K224" s="16">
        <f>IF(ISNUMBER(MATCH(HAF[[#This Row],[Client Program Name]],Table6[Client Program],0)), VLOOKUP(HAF[[#This Row],[Client Program Name]],Table6[], 7, FALSE), VLOOKUP(HAF[[#This Row],[Client Program Name]],Table2[], 7, FALSE) )</f>
        <v>0</v>
      </c>
      <c r="L224" s="16">
        <v>23000</v>
      </c>
      <c r="M224" s="16">
        <f>IF(ISNUMBER(MATCH(HAF[[#This Row],[Client Program Name]],Table6[Client Program],0)), VLOOKUP(HAF[[#This Row],[Client Program Name]],Table6[], 9, FALSE), 0 )</f>
        <v>23000</v>
      </c>
      <c r="N224" s="16">
        <f>IF(ISNUMBER(MATCH(HAF[[#This Row],[Client Program Name]],Table6[Client Program],0)), VLOOKUP(HAF[[#This Row],[Client Program Name]],Table6[], 10, FALSE), VLOOKUP(HAF[[#This Row],[Client Program Name]],Table2[], 8, FALSE) )</f>
        <v>23000</v>
      </c>
      <c r="O224" s="16">
        <v>23000</v>
      </c>
      <c r="P224" s="3"/>
      <c r="Q224" s="14"/>
    </row>
    <row r="225" spans="1:17" x14ac:dyDescent="0.35">
      <c r="A225" s="14" t="s">
        <v>248</v>
      </c>
      <c r="B225" s="14" t="str">
        <f>IF(HAF[[#This Row],[Program]]="Housing Accelerator Fund", "Round One", "Round Two")</f>
        <v>Round One</v>
      </c>
      <c r="C225" s="14" t="s">
        <v>220</v>
      </c>
      <c r="D225" s="14" t="s">
        <v>217</v>
      </c>
      <c r="E225" s="19" t="s">
        <v>17</v>
      </c>
      <c r="F225" s="19" t="s">
        <v>18</v>
      </c>
      <c r="G225" s="15">
        <v>45316</v>
      </c>
      <c r="H225" s="15" t="str">
        <f>MID(HAF[[#This Row],[Client Program Name]], SEARCH( "-",HAF[[#This Row],[Client Program Name]])+1,LEN(HAF[[#This Row],[Client Program Name]])-(SEARCH( "-",HAF[[#This Row],[Client Program Name]])-1))</f>
        <v xml:space="preserve"> Listuguj Mi'gmaq Government</v>
      </c>
      <c r="I225" s="16">
        <v>2982000</v>
      </c>
      <c r="J225" s="16">
        <f>IF(ISNUMBER(MATCH(HAF[[#This Row],[Client Program Name]],Table6[Client Program],0)), VLOOKUP(HAF[[#This Row],[Client Program Name]],Table6[], 6, FALSE), 0 )</f>
        <v>2982000</v>
      </c>
      <c r="K225" s="16">
        <f>IF(ISNUMBER(MATCH(HAF[[#This Row],[Client Program Name]],Table6[Client Program],0)), VLOOKUP(HAF[[#This Row],[Client Program Name]],Table6[], 7, FALSE), VLOOKUP(HAF[[#This Row],[Client Program Name]],Table2[], 7, FALSE) )</f>
        <v>15</v>
      </c>
      <c r="L225" s="16">
        <v>42</v>
      </c>
      <c r="M225" s="16">
        <f>IF(ISNUMBER(MATCH(HAF[[#This Row],[Client Program Name]],Table6[Client Program],0)), VLOOKUP(HAF[[#This Row],[Client Program Name]],Table6[], 9, FALSE), 0 )</f>
        <v>42</v>
      </c>
      <c r="N225" s="16">
        <f>IF(ISNUMBER(MATCH(HAF[[#This Row],[Client Program Name]],Table6[Client Program],0)), VLOOKUP(HAF[[#This Row],[Client Program Name]],Table6[], 10, FALSE), VLOOKUP(HAF[[#This Row],[Client Program Name]],Table2[], 8, FALSE) )</f>
        <v>57</v>
      </c>
      <c r="O225" s="16">
        <v>200</v>
      </c>
      <c r="P225" s="3"/>
      <c r="Q225" s="14"/>
    </row>
    <row r="226" spans="1:17" x14ac:dyDescent="0.35">
      <c r="A226" s="14" t="s">
        <v>249</v>
      </c>
      <c r="B226" s="14" t="str">
        <f>IF(HAF[[#This Row],[Program]]="Housing Accelerator Fund", "Round One", "Round Two")</f>
        <v>Round Two</v>
      </c>
      <c r="C226" s="14" t="s">
        <v>310</v>
      </c>
      <c r="D226" s="14" t="s">
        <v>217</v>
      </c>
      <c r="E226" s="19" t="s">
        <v>10</v>
      </c>
      <c r="F226" s="19" t="s">
        <v>218</v>
      </c>
      <c r="G226" s="15">
        <v>45616</v>
      </c>
      <c r="H226" s="15" t="str">
        <f>MID(HAF[[#This Row],[Client Program Name]], SEARCH( "-",HAF[[#This Row],[Client Program Name]])+1,LEN(HAF[[#This Row],[Client Program Name]])-(SEARCH( "-",HAF[[#This Row],[Client Program Name]])-1))</f>
        <v xml:space="preserve"> La province de Québec</v>
      </c>
      <c r="I226" s="16">
        <v>92000000</v>
      </c>
      <c r="J226" s="16">
        <f>IF(ISNUMBER(MATCH(HAF[[#This Row],[Client Program Name]],Table6[Client Program],0)), VLOOKUP(HAF[[#This Row],[Client Program Name]],Table6[], 6, FALSE), 0 )</f>
        <v>0</v>
      </c>
      <c r="K226" s="16">
        <f>IF(ISNUMBER(MATCH(HAF[[#This Row],[Client Program Name]],Table6[Client Program],0)), VLOOKUP(HAF[[#This Row],[Client Program Name]],Table6[], 7, FALSE), VLOOKUP(HAF[[#This Row],[Client Program Name]],Table2[], 7, FALSE) )</f>
        <v>0</v>
      </c>
      <c r="L226" s="16">
        <v>2760</v>
      </c>
      <c r="M226" s="16">
        <f>IF(ISNUMBER(MATCH(HAF[[#This Row],[Client Program Name]],Table6[Client Program],0)), VLOOKUP(HAF[[#This Row],[Client Program Name]],Table6[], 9, FALSE), 0 )</f>
        <v>0</v>
      </c>
      <c r="N226" s="16">
        <f>IF(ISNUMBER(MATCH(HAF[[#This Row],[Client Program Name]],Table6[Client Program],0)), VLOOKUP(HAF[[#This Row],[Client Program Name]],Table6[], 10, FALSE), VLOOKUP(HAF[[#This Row],[Client Program Name]],Table2[], 8, FALSE) )</f>
        <v>2760</v>
      </c>
      <c r="O226" s="16">
        <v>2760</v>
      </c>
      <c r="P226" s="3"/>
      <c r="Q226" s="14"/>
    </row>
    <row r="227" spans="1:17" x14ac:dyDescent="0.35">
      <c r="A227" s="14" t="s">
        <v>248</v>
      </c>
      <c r="B227" s="14" t="str">
        <f>IF(HAF[[#This Row],[Program]]="Housing Accelerator Fund", "Round One", "Round Two")</f>
        <v>Round One</v>
      </c>
      <c r="C227" s="14" t="s">
        <v>225</v>
      </c>
      <c r="D227" s="14" t="s">
        <v>222</v>
      </c>
      <c r="E227" s="19" t="s">
        <v>10</v>
      </c>
      <c r="F227" s="19" t="s">
        <v>11</v>
      </c>
      <c r="G227" s="15">
        <v>45273</v>
      </c>
      <c r="H227" s="15" t="str">
        <f>MID(HAF[[#This Row],[Client Program Name]], SEARCH( "-",HAF[[#This Row],[Client Program Name]])+1,LEN(HAF[[#This Row],[Client Program Name]])-(SEARCH( "-",HAF[[#This Row],[Client Program Name]])-1))</f>
        <v xml:space="preserve"> Regina</v>
      </c>
      <c r="I227" s="16">
        <v>35275000</v>
      </c>
      <c r="J227" s="16">
        <f>IF(ISNUMBER(MATCH(HAF[[#This Row],[Client Program Name]],Table6[Client Program],0)), VLOOKUP(HAF[[#This Row],[Client Program Name]],Table6[], 6, FALSE), 0 )</f>
        <v>35275000</v>
      </c>
      <c r="K227" s="16">
        <f>IF(ISNUMBER(MATCH(HAF[[#This Row],[Client Program Name]],Table6[Client Program],0)), VLOOKUP(HAF[[#This Row],[Client Program Name]],Table6[], 7, FALSE), VLOOKUP(HAF[[#This Row],[Client Program Name]],Table2[], 7, FALSE) )</f>
        <v>2772</v>
      </c>
      <c r="L227" s="16">
        <v>1070</v>
      </c>
      <c r="M227" s="16">
        <f>IF(ISNUMBER(MATCH(HAF[[#This Row],[Client Program Name]],Table6[Client Program],0)), VLOOKUP(HAF[[#This Row],[Client Program Name]],Table6[], 9, FALSE), 0 )</f>
        <v>1070</v>
      </c>
      <c r="N227" s="16">
        <f>IF(ISNUMBER(MATCH(HAF[[#This Row],[Client Program Name]],Table6[Client Program],0)), VLOOKUP(HAF[[#This Row],[Client Program Name]],Table6[], 10, FALSE), VLOOKUP(HAF[[#This Row],[Client Program Name]],Table2[], 8, FALSE) )</f>
        <v>3842</v>
      </c>
      <c r="O227" s="16">
        <v>3050</v>
      </c>
      <c r="P227" s="3"/>
      <c r="Q227" s="14"/>
    </row>
    <row r="228" spans="1:17" x14ac:dyDescent="0.35">
      <c r="A228" s="14" t="s">
        <v>248</v>
      </c>
      <c r="B228" s="14" t="str">
        <f>IF(HAF[[#This Row],[Program]]="Housing Accelerator Fund", "Round One", "Round Two")</f>
        <v>Round One</v>
      </c>
      <c r="C228" s="14" t="s">
        <v>226</v>
      </c>
      <c r="D228" s="14" t="s">
        <v>222</v>
      </c>
      <c r="E228" s="14" t="s">
        <v>10</v>
      </c>
      <c r="F228" s="14" t="s">
        <v>11</v>
      </c>
      <c r="G228" s="15">
        <v>45281</v>
      </c>
      <c r="H228" s="15" t="str">
        <f>MID(HAF[[#This Row],[Client Program Name]], SEARCH( "-",HAF[[#This Row],[Client Program Name]])+1,LEN(HAF[[#This Row],[Client Program Name]])-(SEARCH( "-",HAF[[#This Row],[Client Program Name]])-1))</f>
        <v xml:space="preserve"> Saskatoon</v>
      </c>
      <c r="I228" s="16">
        <v>41325000</v>
      </c>
      <c r="J228" s="16">
        <f>IF(ISNUMBER(MATCH(HAF[[#This Row],[Client Program Name]],Table6[Client Program],0)), VLOOKUP(HAF[[#This Row],[Client Program Name]],Table6[], 6, FALSE), 0 )</f>
        <v>41325000</v>
      </c>
      <c r="K228" s="16">
        <f>IF(ISNUMBER(MATCH(HAF[[#This Row],[Client Program Name]],Table6[Client Program],0)), VLOOKUP(HAF[[#This Row],[Client Program Name]],Table6[], 7, FALSE), VLOOKUP(HAF[[#This Row],[Client Program Name]],Table2[], 7, FALSE) )</f>
        <v>4975</v>
      </c>
      <c r="L228" s="16">
        <v>940</v>
      </c>
      <c r="M228" s="16">
        <f>IF(ISNUMBER(MATCH(HAF[[#This Row],[Client Program Name]],Table6[Client Program],0)), VLOOKUP(HAF[[#This Row],[Client Program Name]],Table6[], 9, FALSE), 0 )</f>
        <v>940</v>
      </c>
      <c r="N228" s="16">
        <f>IF(ISNUMBER(MATCH(HAF[[#This Row],[Client Program Name]],Table6[Client Program],0)), VLOOKUP(HAF[[#This Row],[Client Program Name]],Table6[], 10, FALSE), VLOOKUP(HAF[[#This Row],[Client Program Name]],Table2[], 8, FALSE) )</f>
        <v>5915</v>
      </c>
      <c r="O228" s="16">
        <v>25240</v>
      </c>
      <c r="P228" s="3"/>
      <c r="Q228" s="14"/>
    </row>
    <row r="229" spans="1:17" x14ac:dyDescent="0.35">
      <c r="A229" s="14" t="s">
        <v>248</v>
      </c>
      <c r="B229" s="14" t="str">
        <f>IF(HAF[[#This Row],[Program]]="Housing Accelerator Fund", "Round One", "Round Two")</f>
        <v>Round One</v>
      </c>
      <c r="C229" s="14" t="s">
        <v>227</v>
      </c>
      <c r="D229" s="14" t="s">
        <v>222</v>
      </c>
      <c r="E229" s="14" t="s">
        <v>17</v>
      </c>
      <c r="F229" s="14" t="s">
        <v>11</v>
      </c>
      <c r="G229" s="15">
        <v>45336</v>
      </c>
      <c r="H229" s="15" t="str">
        <f>MID(HAF[[#This Row],[Client Program Name]], SEARCH( "-",HAF[[#This Row],[Client Program Name]])+1,LEN(HAF[[#This Row],[Client Program Name]])-(SEARCH( "-",HAF[[#This Row],[Client Program Name]])-1))</f>
        <v xml:space="preserve"> Town of Moosomin</v>
      </c>
      <c r="I229" s="16">
        <v>992000</v>
      </c>
      <c r="J229" s="16">
        <f>IF(ISNUMBER(MATCH(HAF[[#This Row],[Client Program Name]],Table6[Client Program],0)), VLOOKUP(HAF[[#This Row],[Client Program Name]],Table6[], 6, FALSE), 0 )</f>
        <v>992000</v>
      </c>
      <c r="K229" s="16">
        <f>IF(ISNUMBER(MATCH(HAF[[#This Row],[Client Program Name]],Table6[Client Program],0)), VLOOKUP(HAF[[#This Row],[Client Program Name]],Table6[], 7, FALSE), VLOOKUP(HAF[[#This Row],[Client Program Name]],Table2[], 7, FALSE) )</f>
        <v>7</v>
      </c>
      <c r="L229" s="16">
        <v>36</v>
      </c>
      <c r="M229" s="16">
        <f>IF(ISNUMBER(MATCH(HAF[[#This Row],[Client Program Name]],Table6[Client Program],0)), VLOOKUP(HAF[[#This Row],[Client Program Name]],Table6[], 9, FALSE), 0 )</f>
        <v>36</v>
      </c>
      <c r="N229" s="16">
        <f>IF(ISNUMBER(MATCH(HAF[[#This Row],[Client Program Name]],Table6[Client Program],0)), VLOOKUP(HAF[[#This Row],[Client Program Name]],Table6[], 10, FALSE), VLOOKUP(HAF[[#This Row],[Client Program Name]],Table2[], 8, FALSE) )</f>
        <v>43</v>
      </c>
      <c r="O229" s="16">
        <v>124</v>
      </c>
      <c r="P229" s="3"/>
      <c r="Q229" s="14"/>
    </row>
    <row r="230" spans="1:17" x14ac:dyDescent="0.35">
      <c r="A230" s="14" t="s">
        <v>248</v>
      </c>
      <c r="B230" s="14" t="str">
        <f>IF(HAF[[#This Row],[Program]]="Housing Accelerator Fund", "Round One", "Round Two")</f>
        <v>Round One</v>
      </c>
      <c r="C230" s="14" t="s">
        <v>224</v>
      </c>
      <c r="D230" s="14" t="s">
        <v>222</v>
      </c>
      <c r="E230" s="14" t="s">
        <v>17</v>
      </c>
      <c r="F230" s="14" t="s">
        <v>11</v>
      </c>
      <c r="G230" s="15">
        <v>45310</v>
      </c>
      <c r="H230" s="15" t="str">
        <f>MID(HAF[[#This Row],[Client Program Name]], SEARCH( "-",HAF[[#This Row],[Client Program Name]])+1,LEN(HAF[[#This Row],[Client Program Name]])-(SEARCH( "-",HAF[[#This Row],[Client Program Name]])-1))</f>
        <v xml:space="preserve"> Outlook</v>
      </c>
      <c r="I230" s="16">
        <v>907000</v>
      </c>
      <c r="J230" s="16">
        <f>IF(ISNUMBER(MATCH(HAF[[#This Row],[Client Program Name]],Table6[Client Program],0)), VLOOKUP(HAF[[#This Row],[Client Program Name]],Table6[], 6, FALSE), 0 )</f>
        <v>907000</v>
      </c>
      <c r="K230" s="16">
        <f>IF(ISNUMBER(MATCH(HAF[[#This Row],[Client Program Name]],Table6[Client Program],0)), VLOOKUP(HAF[[#This Row],[Client Program Name]],Table6[], 7, FALSE), VLOOKUP(HAF[[#This Row],[Client Program Name]],Table2[], 7, FALSE) )</f>
        <v>13</v>
      </c>
      <c r="L230" s="16">
        <v>23</v>
      </c>
      <c r="M230" s="16">
        <f>IF(ISNUMBER(MATCH(HAF[[#This Row],[Client Program Name]],Table6[Client Program],0)), VLOOKUP(HAF[[#This Row],[Client Program Name]],Table6[], 9, FALSE), 0 )</f>
        <v>23</v>
      </c>
      <c r="N230" s="16">
        <f>IF(ISNUMBER(MATCH(HAF[[#This Row],[Client Program Name]],Table6[Client Program],0)), VLOOKUP(HAF[[#This Row],[Client Program Name]],Table6[], 10, FALSE), VLOOKUP(HAF[[#This Row],[Client Program Name]],Table2[], 8, FALSE) )</f>
        <v>36</v>
      </c>
      <c r="O230" s="16">
        <v>69</v>
      </c>
      <c r="P230" s="3"/>
      <c r="Q230" s="14"/>
    </row>
    <row r="231" spans="1:17" x14ac:dyDescent="0.35">
      <c r="A231" s="14" t="s">
        <v>248</v>
      </c>
      <c r="B231" s="14" t="str">
        <f>IF(HAF[[#This Row],[Program]]="Housing Accelerator Fund", "Round One", "Round Two")</f>
        <v>Round One</v>
      </c>
      <c r="C231" s="14" t="s">
        <v>223</v>
      </c>
      <c r="D231" s="14" t="s">
        <v>222</v>
      </c>
      <c r="E231" s="14" t="s">
        <v>17</v>
      </c>
      <c r="F231" s="14" t="s">
        <v>11</v>
      </c>
      <c r="G231" s="15">
        <v>45310</v>
      </c>
      <c r="H231" s="15" t="str">
        <f>MID(HAF[[#This Row],[Client Program Name]], SEARCH( "-",HAF[[#This Row],[Client Program Name]])+1,LEN(HAF[[#This Row],[Client Program Name]])-(SEARCH( "-",HAF[[#This Row],[Client Program Name]])-1))</f>
        <v xml:space="preserve"> Humboldt</v>
      </c>
      <c r="I231" s="16">
        <v>2524000</v>
      </c>
      <c r="J231" s="16">
        <f>IF(ISNUMBER(MATCH(HAF[[#This Row],[Client Program Name]],Table6[Client Program],0)), VLOOKUP(HAF[[#This Row],[Client Program Name]],Table6[], 6, FALSE), 0 )</f>
        <v>2298000</v>
      </c>
      <c r="K231" s="16">
        <f>IF(ISNUMBER(MATCH(HAF[[#This Row],[Client Program Name]],Table6[Client Program],0)), VLOOKUP(HAF[[#This Row],[Client Program Name]],Table6[], 7, FALSE), VLOOKUP(HAF[[#This Row],[Client Program Name]],Table2[], 7, FALSE) )</f>
        <v>57</v>
      </c>
      <c r="L231" s="16">
        <v>70</v>
      </c>
      <c r="M231" s="16">
        <f>IF(ISNUMBER(MATCH(HAF[[#This Row],[Client Program Name]],Table6[Client Program],0)), VLOOKUP(HAF[[#This Row],[Client Program Name]],Table6[], 9, FALSE), 0 )</f>
        <v>63</v>
      </c>
      <c r="N231" s="16">
        <f>IF(ISNUMBER(MATCH(HAF[[#This Row],[Client Program Name]],Table6[Client Program],0)), VLOOKUP(HAF[[#This Row],[Client Program Name]],Table6[], 10, FALSE), VLOOKUP(HAF[[#This Row],[Client Program Name]],Table2[], 8, FALSE) )</f>
        <v>127</v>
      </c>
      <c r="O231" s="16">
        <v>442</v>
      </c>
      <c r="P231" s="3"/>
      <c r="Q231" s="14"/>
    </row>
    <row r="232" spans="1:17" x14ac:dyDescent="0.35">
      <c r="A232" s="14" t="s">
        <v>248</v>
      </c>
      <c r="B232" s="14" t="str">
        <f>IF(HAF[[#This Row],[Program]]="Housing Accelerator Fund", "Round One", "Round Two")</f>
        <v>Round One</v>
      </c>
      <c r="C232" s="14" t="s">
        <v>221</v>
      </c>
      <c r="D232" s="14" t="s">
        <v>222</v>
      </c>
      <c r="E232" s="14" t="s">
        <v>17</v>
      </c>
      <c r="F232" s="14" t="s">
        <v>18</v>
      </c>
      <c r="G232" s="15">
        <v>45331</v>
      </c>
      <c r="H232" s="15" t="str">
        <f>MID(HAF[[#This Row],[Client Program Name]], SEARCH( "-",HAF[[#This Row],[Client Program Name]])+1,LEN(HAF[[#This Row],[Client Program Name]])-(SEARCH( "-",HAF[[#This Row],[Client Program Name]])-1))</f>
        <v xml:space="preserve"> Buffalo River Dene Nation</v>
      </c>
      <c r="I232" s="16">
        <v>1298000</v>
      </c>
      <c r="J232" s="16">
        <f>IF(ISNUMBER(MATCH(HAF[[#This Row],[Client Program Name]],Table6[Client Program],0)), VLOOKUP(HAF[[#This Row],[Client Program Name]],Table6[], 6, FALSE), 0 )</f>
        <v>1298000</v>
      </c>
      <c r="K232" s="16">
        <f>IF(ISNUMBER(MATCH(HAF[[#This Row],[Client Program Name]],Table6[Client Program],0)), VLOOKUP(HAF[[#This Row],[Client Program Name]],Table6[], 7, FALSE), VLOOKUP(HAF[[#This Row],[Client Program Name]],Table2[], 7, FALSE) )</f>
        <v>8</v>
      </c>
      <c r="L232" s="16">
        <v>22</v>
      </c>
      <c r="M232" s="16">
        <f>IF(ISNUMBER(MATCH(HAF[[#This Row],[Client Program Name]],Table6[Client Program],0)), VLOOKUP(HAF[[#This Row],[Client Program Name]],Table6[], 9, FALSE), 0 )</f>
        <v>22</v>
      </c>
      <c r="N232" s="16">
        <f>IF(ISNUMBER(MATCH(HAF[[#This Row],[Client Program Name]],Table6[Client Program],0)), VLOOKUP(HAF[[#This Row],[Client Program Name]],Table6[], 10, FALSE), VLOOKUP(HAF[[#This Row],[Client Program Name]],Table2[], 8, FALSE) )</f>
        <v>30</v>
      </c>
      <c r="O232" s="16">
        <v>35</v>
      </c>
      <c r="P232" s="3"/>
      <c r="Q232" s="14"/>
    </row>
    <row r="233" spans="1:17" x14ac:dyDescent="0.35">
      <c r="A233" s="14" t="s">
        <v>249</v>
      </c>
      <c r="B233" s="14" t="str">
        <f>IF(HAF[[#This Row],[Program]]="Housing Accelerator Fund", "Round One", "Round Two")</f>
        <v>Round Two</v>
      </c>
      <c r="C233" s="14" t="s">
        <v>311</v>
      </c>
      <c r="D233" s="14" t="s">
        <v>222</v>
      </c>
      <c r="E233" s="14" t="s">
        <v>17</v>
      </c>
      <c r="F233" s="14" t="s">
        <v>11</v>
      </c>
      <c r="G233" s="15">
        <v>45649</v>
      </c>
      <c r="H233" s="15" t="str">
        <f>MID(HAF[[#This Row],[Client Program Name]], SEARCH( "-",HAF[[#This Row],[Client Program Name]])+1,LEN(HAF[[#This Row],[Client Program Name]])-(SEARCH( "-",HAF[[#This Row],[Client Program Name]])-1))</f>
        <v xml:space="preserve"> Town of La Ronge</v>
      </c>
      <c r="I233" s="16">
        <v>1109100.6000000001</v>
      </c>
      <c r="J233" s="16">
        <f>IF(ISNUMBER(MATCH(HAF[[#This Row],[Client Program Name]],Table6[Client Program],0)), VLOOKUP(HAF[[#This Row],[Client Program Name]],Table6[], 6, FALSE), 0 )</f>
        <v>0</v>
      </c>
      <c r="K233" s="16">
        <f>IF(ISNUMBER(MATCH(HAF[[#This Row],[Client Program Name]],Table6[Client Program],0)), VLOOKUP(HAF[[#This Row],[Client Program Name]],Table6[], 7, FALSE), VLOOKUP(HAF[[#This Row],[Client Program Name]],Table2[], 7, FALSE) )</f>
        <v>28</v>
      </c>
      <c r="L233" s="16">
        <v>30</v>
      </c>
      <c r="M233" s="16">
        <f>IF(ISNUMBER(MATCH(HAF[[#This Row],[Client Program Name]],Table6[Client Program],0)), VLOOKUP(HAF[[#This Row],[Client Program Name]],Table6[], 9, FALSE), 0 )</f>
        <v>0</v>
      </c>
      <c r="N233" s="16">
        <f>IF(ISNUMBER(MATCH(HAF[[#This Row],[Client Program Name]],Table6[Client Program],0)), VLOOKUP(HAF[[#This Row],[Client Program Name]],Table6[], 10, FALSE), VLOOKUP(HAF[[#This Row],[Client Program Name]],Table2[], 8, FALSE) )</f>
        <v>58</v>
      </c>
      <c r="O233" s="16">
        <v>341</v>
      </c>
      <c r="P233" s="3"/>
      <c r="Q233" s="14"/>
    </row>
    <row r="234" spans="1:17" x14ac:dyDescent="0.35">
      <c r="A234" s="14" t="s">
        <v>249</v>
      </c>
      <c r="B234" s="14" t="str">
        <f>IF(HAF[[#This Row],[Program]]="Housing Accelerator Fund", "Round One", "Round Two")</f>
        <v>Round Two</v>
      </c>
      <c r="C234" s="14" t="s">
        <v>312</v>
      </c>
      <c r="D234" s="14" t="s">
        <v>222</v>
      </c>
      <c r="E234" s="14" t="s">
        <v>17</v>
      </c>
      <c r="F234" s="14" t="s">
        <v>11</v>
      </c>
      <c r="G234" s="15">
        <v>45677</v>
      </c>
      <c r="H234" s="15" t="str">
        <f>MID(HAF[[#This Row],[Client Program Name]], SEARCH( "-",HAF[[#This Row],[Client Program Name]])+1,LEN(HAF[[#This Row],[Client Program Name]])-(SEARCH( "-",HAF[[#This Row],[Client Program Name]])-1))</f>
        <v xml:space="preserve"> Town of Radisson</v>
      </c>
      <c r="I234" s="16">
        <v>402034.8</v>
      </c>
      <c r="J234" s="16">
        <f>IF(ISNUMBER(MATCH(HAF[[#This Row],[Client Program Name]],Table6[Client Program],0)), VLOOKUP(HAF[[#This Row],[Client Program Name]],Table6[], 6, FALSE), 0 )</f>
        <v>0</v>
      </c>
      <c r="K234" s="16">
        <f>IF(ISNUMBER(MATCH(HAF[[#This Row],[Client Program Name]],Table6[Client Program],0)), VLOOKUP(HAF[[#This Row],[Client Program Name]],Table6[], 7, FALSE), VLOOKUP(HAF[[#This Row],[Client Program Name]],Table2[], 7, FALSE) )</f>
        <v>9</v>
      </c>
      <c r="L234" s="16">
        <v>12</v>
      </c>
      <c r="M234" s="16">
        <f>IF(ISNUMBER(MATCH(HAF[[#This Row],[Client Program Name]],Table6[Client Program],0)), VLOOKUP(HAF[[#This Row],[Client Program Name]],Table6[], 9, FALSE), 0 )</f>
        <v>0</v>
      </c>
      <c r="N234" s="16">
        <f>IF(ISNUMBER(MATCH(HAF[[#This Row],[Client Program Name]],Table6[Client Program],0)), VLOOKUP(HAF[[#This Row],[Client Program Name]],Table6[], 10, FALSE), VLOOKUP(HAF[[#This Row],[Client Program Name]],Table2[], 8, FALSE) )</f>
        <v>21</v>
      </c>
      <c r="O234" s="16">
        <v>178</v>
      </c>
      <c r="P234" s="3"/>
      <c r="Q234" s="14"/>
    </row>
    <row r="235" spans="1:17" x14ac:dyDescent="0.35">
      <c r="A235" s="14" t="s">
        <v>248</v>
      </c>
      <c r="B235" s="14" t="str">
        <f>IF(HAF[[#This Row],[Program]]="Housing Accelerator Fund", "Round One", "Round Two")</f>
        <v>Round One</v>
      </c>
      <c r="C235" s="14" t="s">
        <v>229</v>
      </c>
      <c r="D235" s="14" t="s">
        <v>230</v>
      </c>
      <c r="E235" s="14" t="s">
        <v>17</v>
      </c>
      <c r="F235" s="14" t="s">
        <v>11</v>
      </c>
      <c r="G235" s="15">
        <v>45300</v>
      </c>
      <c r="H235" s="15" t="str">
        <f>MID(HAF[[#This Row],[Client Program Name]], SEARCH( "-",HAF[[#This Row],[Client Program Name]])+1,LEN(HAF[[#This Row],[Client Program Name]])-(SEARCH( "-",HAF[[#This Row],[Client Program Name]])-1))</f>
        <v xml:space="preserve"> Carmacks</v>
      </c>
      <c r="I235" s="16">
        <v>2367074.4</v>
      </c>
      <c r="J235" s="16">
        <f>IF(ISNUMBER(MATCH(HAF[[#This Row],[Client Program Name]],Table6[Client Program],0)), VLOOKUP(HAF[[#This Row],[Client Program Name]],Table6[], 6, FALSE), 0 )</f>
        <v>2367074</v>
      </c>
      <c r="K235" s="16">
        <f>IF(ISNUMBER(MATCH(HAF[[#This Row],[Client Program Name]],Table6[Client Program],0)), VLOOKUP(HAF[[#This Row],[Client Program Name]],Table6[], 7, FALSE), VLOOKUP(HAF[[#This Row],[Client Program Name]],Table2[], 7, FALSE) )</f>
        <v>36</v>
      </c>
      <c r="L235" s="16">
        <v>36</v>
      </c>
      <c r="M235" s="16">
        <f>IF(ISNUMBER(MATCH(HAF[[#This Row],[Client Program Name]],Table6[Client Program],0)), VLOOKUP(HAF[[#This Row],[Client Program Name]],Table6[], 9, FALSE), 0 )</f>
        <v>36</v>
      </c>
      <c r="N235" s="16">
        <f>IF(ISNUMBER(MATCH(HAF[[#This Row],[Client Program Name]],Table6[Client Program],0)), VLOOKUP(HAF[[#This Row],[Client Program Name]],Table6[], 10, FALSE), VLOOKUP(HAF[[#This Row],[Client Program Name]],Table2[], 8, FALSE) )</f>
        <v>72</v>
      </c>
      <c r="O235" s="16">
        <v>471</v>
      </c>
      <c r="P235" s="3"/>
      <c r="Q235" s="14"/>
    </row>
    <row r="236" spans="1:17" x14ac:dyDescent="0.35">
      <c r="A236" s="14" t="s">
        <v>248</v>
      </c>
      <c r="B236" s="14" t="str">
        <f>IF(HAF[[#This Row],[Program]]="Housing Accelerator Fund", "Round One", "Round Two")</f>
        <v>Round One</v>
      </c>
      <c r="C236" s="14" t="s">
        <v>232</v>
      </c>
      <c r="D236" s="14" t="s">
        <v>230</v>
      </c>
      <c r="E236" s="14" t="s">
        <v>17</v>
      </c>
      <c r="F236" s="14" t="s">
        <v>11</v>
      </c>
      <c r="G236" s="15">
        <v>45327</v>
      </c>
      <c r="H236" s="15" t="str">
        <f>MID(HAF[[#This Row],[Client Program Name]], SEARCH( "-",HAF[[#This Row],[Client Program Name]])+1,LEN(HAF[[#This Row],[Client Program Name]])-(SEARCH( "-",HAF[[#This Row],[Client Program Name]])-1))</f>
        <v xml:space="preserve"> City of Whitehorse</v>
      </c>
      <c r="I236" s="16">
        <v>10979945.140000001</v>
      </c>
      <c r="J236" s="16">
        <f>IF(ISNUMBER(MATCH(HAF[[#This Row],[Client Program Name]],Table6[Client Program],0)), VLOOKUP(HAF[[#This Row],[Client Program Name]],Table6[], 6, FALSE), 0 )</f>
        <v>10979945</v>
      </c>
      <c r="K236" s="16">
        <f>IF(ISNUMBER(MATCH(HAF[[#This Row],[Client Program Name]],Table6[Client Program],0)), VLOOKUP(HAF[[#This Row],[Client Program Name]],Table6[], 7, FALSE), VLOOKUP(HAF[[#This Row],[Client Program Name]],Table2[], 7, FALSE) )</f>
        <v>1300</v>
      </c>
      <c r="L236" s="16">
        <v>198</v>
      </c>
      <c r="M236" s="16">
        <f>IF(ISNUMBER(MATCH(HAF[[#This Row],[Client Program Name]],Table6[Client Program],0)), VLOOKUP(HAF[[#This Row],[Client Program Name]],Table6[], 9, FALSE), 0 )</f>
        <v>198</v>
      </c>
      <c r="N236" s="16">
        <f>IF(ISNUMBER(MATCH(HAF[[#This Row],[Client Program Name]],Table6[Client Program],0)), VLOOKUP(HAF[[#This Row],[Client Program Name]],Table6[], 10, FALSE), VLOOKUP(HAF[[#This Row],[Client Program Name]],Table2[], 8, FALSE) )</f>
        <v>1498</v>
      </c>
      <c r="O236" s="16">
        <v>3984</v>
      </c>
      <c r="P236" s="3"/>
      <c r="Q236" s="14"/>
    </row>
    <row r="237" spans="1:17" x14ac:dyDescent="0.35">
      <c r="A237" s="14" t="s">
        <v>248</v>
      </c>
      <c r="B237" s="14" t="str">
        <f>IF(HAF[[#This Row],[Program]]="Housing Accelerator Fund", "Round One", "Round Two")</f>
        <v>Round One</v>
      </c>
      <c r="C237" s="14" t="s">
        <v>233</v>
      </c>
      <c r="D237" s="14" t="s">
        <v>230</v>
      </c>
      <c r="E237" s="14" t="s">
        <v>17</v>
      </c>
      <c r="F237" s="14" t="s">
        <v>11</v>
      </c>
      <c r="G237" s="15">
        <v>45302</v>
      </c>
      <c r="H237" s="15" t="str">
        <f>MID(HAF[[#This Row],[Client Program Name]], SEARCH( "-",HAF[[#This Row],[Client Program Name]])+1,LEN(HAF[[#This Row],[Client Program Name]])-(SEARCH( "-",HAF[[#This Row],[Client Program Name]])-1))</f>
        <v xml:space="preserve"> Haines Junction</v>
      </c>
      <c r="I237" s="16">
        <v>1234637.1000000001</v>
      </c>
      <c r="J237" s="16">
        <f>IF(ISNUMBER(MATCH(HAF[[#This Row],[Client Program Name]],Table6[Client Program],0)), VLOOKUP(HAF[[#This Row],[Client Program Name]],Table6[], 6, FALSE), 0 )</f>
        <v>1234637</v>
      </c>
      <c r="K237" s="16">
        <f>IF(ISNUMBER(MATCH(HAF[[#This Row],[Client Program Name]],Table6[Client Program],0)), VLOOKUP(HAF[[#This Row],[Client Program Name]],Table6[], 7, FALSE), VLOOKUP(HAF[[#This Row],[Client Program Name]],Table2[], 7, FALSE) )</f>
        <v>43</v>
      </c>
      <c r="L237" s="16">
        <v>20</v>
      </c>
      <c r="M237" s="16">
        <f>IF(ISNUMBER(MATCH(HAF[[#This Row],[Client Program Name]],Table6[Client Program],0)), VLOOKUP(HAF[[#This Row],[Client Program Name]],Table6[], 9, FALSE), 0 )</f>
        <v>20</v>
      </c>
      <c r="N237" s="16">
        <f>IF(ISNUMBER(MATCH(HAF[[#This Row],[Client Program Name]],Table6[Client Program],0)), VLOOKUP(HAF[[#This Row],[Client Program Name]],Table6[], 10, FALSE), VLOOKUP(HAF[[#This Row],[Client Program Name]],Table2[], 8, FALSE) )</f>
        <v>63</v>
      </c>
      <c r="O237" s="16">
        <v>90</v>
      </c>
      <c r="P237" s="3"/>
      <c r="Q237" s="14"/>
    </row>
    <row r="238" spans="1:17" x14ac:dyDescent="0.35">
      <c r="A238" s="14" t="s">
        <v>248</v>
      </c>
      <c r="B238" s="14" t="str">
        <f>IF(HAF[[#This Row],[Program]]="Housing Accelerator Fund", "Round One", "Round Two")</f>
        <v>Round One</v>
      </c>
      <c r="C238" s="14" t="s">
        <v>236</v>
      </c>
      <c r="D238" s="14" t="s">
        <v>230</v>
      </c>
      <c r="E238" s="14" t="s">
        <v>17</v>
      </c>
      <c r="F238" s="14" t="s">
        <v>11</v>
      </c>
      <c r="G238" s="15">
        <v>45299</v>
      </c>
      <c r="H238" s="15" t="str">
        <f>MID(HAF[[#This Row],[Client Program Name]], SEARCH( "-",HAF[[#This Row],[Client Program Name]])+1,LEN(HAF[[#This Row],[Client Program Name]])-(SEARCH( "-",HAF[[#This Row],[Client Program Name]])-1))</f>
        <v xml:space="preserve"> Watson Lake</v>
      </c>
      <c r="I238" s="16">
        <v>2060000</v>
      </c>
      <c r="J238" s="16">
        <f>IF(ISNUMBER(MATCH(HAF[[#This Row],[Client Program Name]],Table6[Client Program],0)), VLOOKUP(HAF[[#This Row],[Client Program Name]],Table6[], 6, FALSE), 0 )</f>
        <v>2060000</v>
      </c>
      <c r="K238" s="16">
        <f>IF(ISNUMBER(MATCH(HAF[[#This Row],[Client Program Name]],Table6[Client Program],0)), VLOOKUP(HAF[[#This Row],[Client Program Name]],Table6[], 7, FALSE), VLOOKUP(HAF[[#This Row],[Client Program Name]],Table2[], 7, FALSE) )</f>
        <v>18</v>
      </c>
      <c r="L238" s="16">
        <v>42</v>
      </c>
      <c r="M238" s="16">
        <f>IF(ISNUMBER(MATCH(HAF[[#This Row],[Client Program Name]],Table6[Client Program],0)), VLOOKUP(HAF[[#This Row],[Client Program Name]],Table6[], 9, FALSE), 0 )</f>
        <v>42</v>
      </c>
      <c r="N238" s="16">
        <f>IF(ISNUMBER(MATCH(HAF[[#This Row],[Client Program Name]],Table6[Client Program],0)), VLOOKUP(HAF[[#This Row],[Client Program Name]],Table6[], 10, FALSE), VLOOKUP(HAF[[#This Row],[Client Program Name]],Table2[], 8, FALSE) )</f>
        <v>60</v>
      </c>
      <c r="O238" s="16">
        <v>105</v>
      </c>
      <c r="P238" s="3"/>
      <c r="Q238" s="14"/>
    </row>
    <row r="239" spans="1:17" x14ac:dyDescent="0.35">
      <c r="A239" s="14" t="s">
        <v>248</v>
      </c>
      <c r="B239" s="14" t="str">
        <f>IF(HAF[[#This Row],[Program]]="Housing Accelerator Fund", "Round One", "Round Two")</f>
        <v>Round One</v>
      </c>
      <c r="C239" s="14" t="s">
        <v>231</v>
      </c>
      <c r="D239" s="14" t="s">
        <v>230</v>
      </c>
      <c r="E239" s="14" t="s">
        <v>17</v>
      </c>
      <c r="F239" s="14" t="s">
        <v>11</v>
      </c>
      <c r="G239" s="15">
        <v>45289</v>
      </c>
      <c r="H239" s="15" t="str">
        <f>MID(HAF[[#This Row],[Client Program Name]], SEARCH( "-",HAF[[#This Row],[Client Program Name]])+1,LEN(HAF[[#This Row],[Client Program Name]])-(SEARCH( "-",HAF[[#This Row],[Client Program Name]])-1))</f>
        <v xml:space="preserve"> City of Dawson</v>
      </c>
      <c r="I239" s="16">
        <v>1155892</v>
      </c>
      <c r="J239" s="16">
        <f>IF(ISNUMBER(MATCH(HAF[[#This Row],[Client Program Name]],Table6[Client Program],0)), VLOOKUP(HAF[[#This Row],[Client Program Name]],Table6[], 6, FALSE), 0 )</f>
        <v>1037892</v>
      </c>
      <c r="K239" s="16">
        <f>IF(ISNUMBER(MATCH(HAF[[#This Row],[Client Program Name]],Table6[Client Program],0)), VLOOKUP(HAF[[#This Row],[Client Program Name]],Table6[], 7, FALSE), VLOOKUP(HAF[[#This Row],[Client Program Name]],Table2[], 7, FALSE) )</f>
        <v>50</v>
      </c>
      <c r="L239" s="16">
        <v>20</v>
      </c>
      <c r="M239" s="16">
        <f>IF(ISNUMBER(MATCH(HAF[[#This Row],[Client Program Name]],Table6[Client Program],0)), VLOOKUP(HAF[[#This Row],[Client Program Name]],Table6[], 9, FALSE), 0 )</f>
        <v>18</v>
      </c>
      <c r="N239" s="16">
        <f>IF(ISNUMBER(MATCH(HAF[[#This Row],[Client Program Name]],Table6[Client Program],0)), VLOOKUP(HAF[[#This Row],[Client Program Name]],Table6[], 10, FALSE), VLOOKUP(HAF[[#This Row],[Client Program Name]],Table2[], 8, FALSE) )</f>
        <v>70</v>
      </c>
      <c r="O239" s="16">
        <v>413</v>
      </c>
      <c r="P239" s="3"/>
      <c r="Q239" s="14"/>
    </row>
    <row r="240" spans="1:17" x14ac:dyDescent="0.35">
      <c r="A240" s="14" t="s">
        <v>248</v>
      </c>
      <c r="B240" s="14" t="str">
        <f>IF(HAF[[#This Row],[Program]]="Housing Accelerator Fund", "Round One", "Round Two")</f>
        <v>Round One</v>
      </c>
      <c r="C240" s="14" t="s">
        <v>234</v>
      </c>
      <c r="D240" s="14" t="s">
        <v>230</v>
      </c>
      <c r="E240" s="14" t="s">
        <v>17</v>
      </c>
      <c r="F240" s="14" t="s">
        <v>18</v>
      </c>
      <c r="G240" s="15">
        <v>45303</v>
      </c>
      <c r="H240" s="15" t="str">
        <f>MID(HAF[[#This Row],[Client Program Name]], SEARCH( "-",HAF[[#This Row],[Client Program Name]])+1,LEN(HAF[[#This Row],[Client Program Name]])-(SEARCH( "-",HAF[[#This Row],[Client Program Name]])-1))</f>
        <v xml:space="preserve"> Kwanlin Dun First Nation</v>
      </c>
      <c r="I240" s="16">
        <v>4137011.4</v>
      </c>
      <c r="J240" s="16">
        <f>IF(ISNUMBER(MATCH(HAF[[#This Row],[Client Program Name]],Table6[Client Program],0)), VLOOKUP(HAF[[#This Row],[Client Program Name]],Table6[], 6, FALSE), 0 )</f>
        <v>4137011</v>
      </c>
      <c r="K240" s="16">
        <f>IF(ISNUMBER(MATCH(HAF[[#This Row],[Client Program Name]],Table6[Client Program],0)), VLOOKUP(HAF[[#This Row],[Client Program Name]],Table6[], 7, FALSE), VLOOKUP(HAF[[#This Row],[Client Program Name]],Table2[], 7, FALSE) )</f>
        <v>15</v>
      </c>
      <c r="L240" s="16">
        <v>63</v>
      </c>
      <c r="M240" s="16">
        <f>IF(ISNUMBER(MATCH(HAF[[#This Row],[Client Program Name]],Table6[Client Program],0)), VLOOKUP(HAF[[#This Row],[Client Program Name]],Table6[], 9, FALSE), 0 )</f>
        <v>63</v>
      </c>
      <c r="N240" s="16">
        <f>IF(ISNUMBER(MATCH(HAF[[#This Row],[Client Program Name]],Table6[Client Program],0)), VLOOKUP(HAF[[#This Row],[Client Program Name]],Table6[], 10, FALSE), VLOOKUP(HAF[[#This Row],[Client Program Name]],Table2[], 8, FALSE) )</f>
        <v>78</v>
      </c>
      <c r="O240" s="16">
        <v>1450</v>
      </c>
      <c r="P240" s="3"/>
      <c r="Q240" s="14"/>
    </row>
    <row r="241" spans="1:17" x14ac:dyDescent="0.35">
      <c r="A241" s="14" t="s">
        <v>248</v>
      </c>
      <c r="B241" s="14" t="str">
        <f>IF(HAF[[#This Row],[Program]]="Housing Accelerator Fund", "Round One", "Round Two")</f>
        <v>Round One</v>
      </c>
      <c r="C241" s="14" t="s">
        <v>235</v>
      </c>
      <c r="D241" s="14" t="s">
        <v>230</v>
      </c>
      <c r="E241" s="14" t="s">
        <v>17</v>
      </c>
      <c r="F241" s="14" t="s">
        <v>18</v>
      </c>
      <c r="G241" s="15">
        <v>45274</v>
      </c>
      <c r="H241" s="15" t="str">
        <f>MID(HAF[[#This Row],[Client Program Name]], SEARCH( "-",HAF[[#This Row],[Client Program Name]])+1,LEN(HAF[[#This Row],[Client Program Name]])-(SEARCH( "-",HAF[[#This Row],[Client Program Name]])-1))</f>
        <v xml:space="preserve"> Ta'an Kwäch'än Council</v>
      </c>
      <c r="I241" s="16">
        <v>3124000</v>
      </c>
      <c r="J241" s="16">
        <f>IF(ISNUMBER(MATCH(HAF[[#This Row],[Client Program Name]],Table6[Client Program],0)), VLOOKUP(HAF[[#This Row],[Client Program Name]],Table6[], 6, FALSE), 0 )</f>
        <v>3124000</v>
      </c>
      <c r="K241" s="16">
        <f>IF(ISNUMBER(MATCH(HAF[[#This Row],[Client Program Name]],Table6[Client Program],0)), VLOOKUP(HAF[[#This Row],[Client Program Name]],Table6[], 7, FALSE), VLOOKUP(HAF[[#This Row],[Client Program Name]],Table2[], 7, FALSE) )</f>
        <v>0</v>
      </c>
      <c r="L241" s="16">
        <v>44</v>
      </c>
      <c r="M241" s="16">
        <f>IF(ISNUMBER(MATCH(HAF[[#This Row],[Client Program Name]],Table6[Client Program],0)), VLOOKUP(HAF[[#This Row],[Client Program Name]],Table6[], 9, FALSE), 0 )</f>
        <v>44</v>
      </c>
      <c r="N241" s="16">
        <f>IF(ISNUMBER(MATCH(HAF[[#This Row],[Client Program Name]],Table6[Client Program],0)), VLOOKUP(HAF[[#This Row],[Client Program Name]],Table6[], 10, FALSE), VLOOKUP(HAF[[#This Row],[Client Program Name]],Table2[], 8, FALSE) )</f>
        <v>44</v>
      </c>
      <c r="O241" s="16">
        <v>68</v>
      </c>
      <c r="P241" s="3"/>
      <c r="Q241" s="14"/>
    </row>
    <row r="242" spans="1:17" x14ac:dyDescent="0.35">
      <c r="A242" s="14" t="s">
        <v>249</v>
      </c>
      <c r="B242" s="14" t="str">
        <f>IF(HAF[[#This Row],[Program]]="Housing Accelerator Fund", "Round One", "Round Two")</f>
        <v>Round Two</v>
      </c>
      <c r="C242" s="14" t="s">
        <v>313</v>
      </c>
      <c r="D242" s="14" t="s">
        <v>230</v>
      </c>
      <c r="E242" s="14" t="s">
        <v>17</v>
      </c>
      <c r="F242" s="14" t="s">
        <v>11</v>
      </c>
      <c r="G242" s="15">
        <v>45645</v>
      </c>
      <c r="H242" s="15" t="str">
        <f>MID(HAF[[#This Row],[Client Program Name]], SEARCH( "-",HAF[[#This Row],[Client Program Name]])+1,LEN(HAF[[#This Row],[Client Program Name]])-(SEARCH( "-",HAF[[#This Row],[Client Program Name]])-1))</f>
        <v xml:space="preserve"> Faro</v>
      </c>
      <c r="I242" s="16">
        <v>684000</v>
      </c>
      <c r="J242" s="16">
        <f>IF(ISNUMBER(MATCH(HAF[[#This Row],[Client Program Name]],Table6[Client Program],0)), VLOOKUP(HAF[[#This Row],[Client Program Name]],Table6[], 6, FALSE), 0 )</f>
        <v>0</v>
      </c>
      <c r="K242" s="16">
        <f>IF(ISNUMBER(MATCH(HAF[[#This Row],[Client Program Name]],Table6[Client Program],0)), VLOOKUP(HAF[[#This Row],[Client Program Name]],Table6[], 7, FALSE), VLOOKUP(HAF[[#This Row],[Client Program Name]],Table2[], 7, FALSE) )</f>
        <v>11</v>
      </c>
      <c r="L242" s="16">
        <v>14</v>
      </c>
      <c r="M242" s="16">
        <f>IF(ISNUMBER(MATCH(HAF[[#This Row],[Client Program Name]],Table6[Client Program],0)), VLOOKUP(HAF[[#This Row],[Client Program Name]],Table6[], 9, FALSE), 0 )</f>
        <v>0</v>
      </c>
      <c r="N242" s="16">
        <f>IF(ISNUMBER(MATCH(HAF[[#This Row],[Client Program Name]],Table6[Client Program],0)), VLOOKUP(HAF[[#This Row],[Client Program Name]],Table6[], 10, FALSE), VLOOKUP(HAF[[#This Row],[Client Program Name]],Table2[], 8, FALSE) )</f>
        <v>25</v>
      </c>
      <c r="O242" s="16">
        <v>90</v>
      </c>
      <c r="P242" s="3"/>
      <c r="Q242" s="14"/>
    </row>
    <row r="243" spans="1:17" x14ac:dyDescent="0.35">
      <c r="A243" s="34"/>
      <c r="B243" s="34"/>
      <c r="C243" s="34">
        <f>SUBTOTAL(103,HAF[Client Program Name])</f>
        <v>241</v>
      </c>
      <c r="D243" s="34"/>
      <c r="E243" s="34"/>
      <c r="F243" s="34"/>
      <c r="G243" s="34"/>
      <c r="H243" s="34"/>
      <c r="I243" s="5">
        <f>SUBTOTAL(109,HAF[Current Funding])</f>
        <v>4370757870.9900017</v>
      </c>
      <c r="J243" s="5">
        <f>SUBTOTAL(109,HAF[Round One Funding])</f>
        <v>3897270152</v>
      </c>
      <c r="K243" s="5">
        <f>SUBTOTAL(109,HAF[Baseline 3-Year Supply])</f>
        <v>404474</v>
      </c>
      <c r="L243" s="5">
        <f>SUBTOTAL(109,HAF[Current 3-Year Target for Incremental Supply])</f>
        <v>119685</v>
      </c>
      <c r="M243" s="5">
        <f>SUBTOTAL(109,HAF[Round One 3-Year Target for Incremental Supply])</f>
        <v>105862</v>
      </c>
      <c r="N243" s="5">
        <f>SUBTOTAL(109,HAF[Current 3-Year Target for Total Supply])</f>
        <v>524159</v>
      </c>
      <c r="O243" s="5">
        <f>SUBTOTAL(109,HAF[Round One Funding])</f>
        <v>3897270152</v>
      </c>
      <c r="P243" s="31"/>
      <c r="Q243" s="14"/>
    </row>
    <row r="250" spans="1:17" x14ac:dyDescent="0.35">
      <c r="L250" s="17"/>
      <c r="M250" s="17"/>
      <c r="N250" s="17"/>
    </row>
  </sheetData>
  <pageMargins left="0.7" right="0.7" top="0.75" bottom="0.75" header="0.3" footer="0.3"/>
  <headerFooter>
    <oddHeader>&amp;C&amp;"Calibri"&amp;10&amp;K000000 Protected-A-Protégé-A&amp;1#_x000D_</oddHeader>
    <oddFooter>&amp;C_x000D_&amp;1#&amp;"Calibri"&amp;10&amp;K000000 Protected-A-Protégé-A</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D575-3254-49C6-B1E3-F85CB0B8528E}">
  <dimension ref="A1:O180"/>
  <sheetViews>
    <sheetView zoomScale="85" zoomScaleNormal="85" workbookViewId="0">
      <pane xSplit="1" ySplit="1" topLeftCell="B2" activePane="bottomRight" state="frozen"/>
      <selection pane="topRight" activeCell="B1" sqref="B1"/>
      <selection pane="bottomLeft" activeCell="A2" sqref="A2"/>
      <selection pane="bottomRight" activeCell="G2" sqref="G2"/>
    </sheetView>
  </sheetViews>
  <sheetFormatPr defaultRowHeight="14.5" x14ac:dyDescent="0.35"/>
  <cols>
    <col min="1" max="1" width="34.453125" customWidth="1"/>
    <col min="2" max="2" width="18.81640625" customWidth="1"/>
    <col min="3" max="3" width="31.81640625" customWidth="1"/>
    <col min="4" max="4" width="24.453125" customWidth="1"/>
    <col min="5" max="5" width="27.81640625" style="1" customWidth="1"/>
    <col min="6" max="6" width="20.453125" style="2" customWidth="1"/>
    <col min="7" max="7" width="21.6328125" style="3" customWidth="1"/>
    <col min="8" max="8" width="21.81640625" style="3" customWidth="1"/>
    <col min="9" max="9" width="17.81640625" customWidth="1"/>
    <col min="10" max="10" width="22.6328125" style="3" customWidth="1"/>
    <col min="11" max="11" width="21" style="3" customWidth="1"/>
    <col min="12" max="12" width="15.1796875" customWidth="1"/>
    <col min="13" max="13" width="16.81640625" style="3" customWidth="1"/>
    <col min="14" max="14" width="20.6328125" customWidth="1"/>
    <col min="15" max="15" width="17.81640625" style="3" customWidth="1"/>
  </cols>
  <sheetData>
    <row r="1" spans="1:15" s="7" customFormat="1" ht="43.5" x14ac:dyDescent="0.35">
      <c r="A1" s="7" t="s">
        <v>0</v>
      </c>
      <c r="B1" s="7" t="s">
        <v>1</v>
      </c>
      <c r="C1" s="7" t="s">
        <v>2</v>
      </c>
      <c r="D1" s="7" t="s">
        <v>3</v>
      </c>
      <c r="E1" s="8" t="s">
        <v>4</v>
      </c>
      <c r="F1" s="9" t="s">
        <v>5</v>
      </c>
      <c r="G1" s="10" t="s">
        <v>6</v>
      </c>
      <c r="H1" s="11" t="s">
        <v>238</v>
      </c>
      <c r="I1" s="10" t="s">
        <v>7</v>
      </c>
      <c r="J1" s="12" t="s">
        <v>240</v>
      </c>
      <c r="K1" s="12" t="s">
        <v>241</v>
      </c>
      <c r="L1" s="13" t="s">
        <v>242</v>
      </c>
      <c r="M1" s="12" t="s">
        <v>239</v>
      </c>
    </row>
    <row r="2" spans="1:15" x14ac:dyDescent="0.35">
      <c r="A2" t="s">
        <v>8</v>
      </c>
      <c r="B2" t="s">
        <v>9</v>
      </c>
      <c r="C2" t="s">
        <v>10</v>
      </c>
      <c r="D2" t="s">
        <v>11</v>
      </c>
      <c r="E2" s="1" t="s">
        <v>12</v>
      </c>
      <c r="F2" s="2">
        <v>228466276</v>
      </c>
      <c r="G2" s="3">
        <f>Table6[[#This Row],[ '# units Projected With Program]]-Table6[[#This Row],['# Projected units Incented by Program]]</f>
        <v>35033</v>
      </c>
      <c r="H2" s="3">
        <f>Table6[[#This Row],[ '# units Projected With Program (as of March 31 2025)]]-Table6[[#This Row],[Increase in projected units ]]</f>
        <v>41858</v>
      </c>
      <c r="I2" s="3">
        <v>6825</v>
      </c>
      <c r="J2" s="3">
        <v>42667</v>
      </c>
      <c r="K2" s="3">
        <f>Table6[[#This Row],[ '# units Projected With Program (as of March 31 2025)]]-Table6[[#This Row],['# units Projected Without Program]]</f>
        <v>7634</v>
      </c>
      <c r="L2" s="3">
        <v>809</v>
      </c>
      <c r="M2" s="3">
        <v>251309276</v>
      </c>
      <c r="O2"/>
    </row>
    <row r="3" spans="1:15" x14ac:dyDescent="0.35">
      <c r="A3" t="s">
        <v>13</v>
      </c>
      <c r="B3" t="s">
        <v>9</v>
      </c>
      <c r="C3" t="s">
        <v>10</v>
      </c>
      <c r="D3" t="s">
        <v>11</v>
      </c>
      <c r="E3" s="1" t="s">
        <v>14</v>
      </c>
      <c r="F3" s="2">
        <v>24839000</v>
      </c>
      <c r="G3" s="3">
        <f>Table6[[#This Row],[ '# units Projected With Program]]-Table6[[#This Row],['# Projected units Incented by Program]]</f>
        <v>2726</v>
      </c>
      <c r="H3" s="3">
        <f>Table6[[#This Row],[ '# units Projected With Program (as of March 31 2025)]]-Table6[[#This Row],[Increase in projected units ]]</f>
        <v>3635</v>
      </c>
      <c r="I3" s="3">
        <v>909</v>
      </c>
      <c r="J3" s="3">
        <v>3635</v>
      </c>
      <c r="K3" s="3">
        <f>Table6[[#This Row],[ '# units Projected With Program (as of March 31 2025)]]-Table6[[#This Row],['# units Projected Without Program]]</f>
        <v>909</v>
      </c>
      <c r="L3" s="3"/>
      <c r="M3" s="3">
        <v>24839000</v>
      </c>
      <c r="O3"/>
    </row>
    <row r="4" spans="1:15" x14ac:dyDescent="0.35">
      <c r="A4" t="s">
        <v>15</v>
      </c>
      <c r="B4" t="s">
        <v>9</v>
      </c>
      <c r="C4" t="s">
        <v>10</v>
      </c>
      <c r="D4" t="s">
        <v>11</v>
      </c>
      <c r="E4" s="1">
        <v>45180</v>
      </c>
      <c r="F4" s="2">
        <v>175172181</v>
      </c>
      <c r="G4" s="3">
        <f>Table6[[#This Row],[ '# units Projected With Program]]-Table6[[#This Row],['# Projected units Incented by Program]]</f>
        <v>30197</v>
      </c>
      <c r="H4" s="3">
        <f>Table6[[#This Row],[ '# units Projected With Program (as of March 31 2025)]]-Table6[[#This Row],[Increase in projected units ]]</f>
        <v>35433</v>
      </c>
      <c r="I4" s="3">
        <v>5236</v>
      </c>
      <c r="J4" s="3">
        <v>35934</v>
      </c>
      <c r="K4" s="3">
        <f>Table6[[#This Row],[ '# units Projected With Program (as of March 31 2025)]]-Table6[[#This Row],['# units Projected Without Program]]</f>
        <v>5737</v>
      </c>
      <c r="L4" s="3">
        <v>501</v>
      </c>
      <c r="M4" s="3">
        <v>192656181</v>
      </c>
      <c r="O4"/>
    </row>
    <row r="5" spans="1:15" x14ac:dyDescent="0.35">
      <c r="A5" t="s">
        <v>16</v>
      </c>
      <c r="B5" t="s">
        <v>9</v>
      </c>
      <c r="C5" t="s">
        <v>17</v>
      </c>
      <c r="D5" t="s">
        <v>18</v>
      </c>
      <c r="E5" s="1">
        <v>45536</v>
      </c>
      <c r="F5" s="2">
        <v>850975</v>
      </c>
      <c r="G5" s="3">
        <f>Table6[[#This Row],[ '# units Projected With Program]]-Table6[[#This Row],['# Projected units Incented by Program]]</f>
        <v>26</v>
      </c>
      <c r="H5" s="3">
        <f>Table6[[#This Row],[ '# units Projected With Program (as of March 31 2025)]]-Table6[[#This Row],[Increase in projected units ]]</f>
        <v>39</v>
      </c>
      <c r="I5" s="3">
        <v>13</v>
      </c>
      <c r="J5" s="3">
        <v>39</v>
      </c>
      <c r="K5" s="3">
        <f>Table6[[#This Row],[ '# units Projected With Program (as of March 31 2025)]]-Table6[[#This Row],['# units Projected Without Program]]</f>
        <v>13</v>
      </c>
      <c r="L5" s="3"/>
      <c r="M5" s="3">
        <v>850975.3</v>
      </c>
      <c r="O5"/>
    </row>
    <row r="6" spans="1:15" x14ac:dyDescent="0.35">
      <c r="A6" t="s">
        <v>19</v>
      </c>
      <c r="B6" t="s">
        <v>9</v>
      </c>
      <c r="C6" t="s">
        <v>17</v>
      </c>
      <c r="D6" t="s">
        <v>18</v>
      </c>
      <c r="E6" s="1">
        <v>45293</v>
      </c>
      <c r="F6" s="2">
        <v>2301000</v>
      </c>
      <c r="G6" s="3">
        <f>Table6[[#This Row],[ '# units Projected With Program]]-Table6[[#This Row],['# Projected units Incented by Program]]</f>
        <v>6</v>
      </c>
      <c r="H6" s="3">
        <f>Table6[[#This Row],[ '# units Projected With Program (as of March 31 2025)]]-Table6[[#This Row],[Increase in projected units ]]</f>
        <v>45</v>
      </c>
      <c r="I6" s="3">
        <v>39</v>
      </c>
      <c r="J6" s="3">
        <v>45</v>
      </c>
      <c r="K6" s="3">
        <f>Table6[[#This Row],[ '# units Projected With Program (as of March 31 2025)]]-Table6[[#This Row],['# units Projected Without Program]]</f>
        <v>39</v>
      </c>
      <c r="L6" s="3"/>
      <c r="M6" s="3">
        <v>2301000</v>
      </c>
      <c r="O6"/>
    </row>
    <row r="7" spans="1:15" x14ac:dyDescent="0.35">
      <c r="A7" t="s">
        <v>20</v>
      </c>
      <c r="B7" t="s">
        <v>9</v>
      </c>
      <c r="C7" t="s">
        <v>10</v>
      </c>
      <c r="D7" t="s">
        <v>11</v>
      </c>
      <c r="E7" s="1" t="s">
        <v>14</v>
      </c>
      <c r="F7" s="2">
        <v>5186467</v>
      </c>
      <c r="G7" s="3">
        <f>Table6[[#This Row],[ '# units Projected With Program]]-Table6[[#This Row],['# Projected units Incented by Program]]</f>
        <v>411</v>
      </c>
      <c r="H7" s="3">
        <f>Table6[[#This Row],[ '# units Projected With Program (as of March 31 2025)]]-Table6[[#This Row],[Increase in projected units ]]</f>
        <v>572</v>
      </c>
      <c r="I7" s="3">
        <v>161</v>
      </c>
      <c r="J7" s="3">
        <v>572</v>
      </c>
      <c r="K7" s="3">
        <f>Table6[[#This Row],[ '# units Projected With Program (as of March 31 2025)]]-Table6[[#This Row],['# units Projected Without Program]]</f>
        <v>161</v>
      </c>
      <c r="L7" s="3"/>
      <c r="M7" s="3">
        <v>5186466.8</v>
      </c>
      <c r="O7"/>
    </row>
    <row r="8" spans="1:15" x14ac:dyDescent="0.35">
      <c r="A8" t="s">
        <v>21</v>
      </c>
      <c r="B8" t="s">
        <v>9</v>
      </c>
      <c r="C8" t="s">
        <v>10</v>
      </c>
      <c r="D8" t="s">
        <v>11</v>
      </c>
      <c r="E8" s="1" t="s">
        <v>22</v>
      </c>
      <c r="F8" s="2">
        <v>5485430</v>
      </c>
      <c r="G8" s="3">
        <f>Table6[[#This Row],[ '# units Projected With Program]]-Table6[[#This Row],['# Projected units Incented by Program]]</f>
        <v>387</v>
      </c>
      <c r="H8" s="3">
        <f>Table6[[#This Row],[ '# units Projected With Program (as of March 31 2025)]]-Table6[[#This Row],[Increase in projected units ]]</f>
        <v>555</v>
      </c>
      <c r="I8" s="3">
        <v>168</v>
      </c>
      <c r="J8" s="3">
        <v>575</v>
      </c>
      <c r="K8" s="3">
        <f>Table6[[#This Row],[ '# units Projected With Program (as of March 31 2025)]]-Table6[[#This Row],['# units Projected Without Program]]</f>
        <v>188</v>
      </c>
      <c r="L8" s="3">
        <v>20</v>
      </c>
      <c r="M8" s="3">
        <v>6025430</v>
      </c>
      <c r="O8"/>
    </row>
    <row r="9" spans="1:15" x14ac:dyDescent="0.35">
      <c r="A9" t="s">
        <v>23</v>
      </c>
      <c r="B9" t="s">
        <v>9</v>
      </c>
      <c r="C9" t="s">
        <v>17</v>
      </c>
      <c r="D9" t="s">
        <v>11</v>
      </c>
      <c r="E9" s="1" t="s">
        <v>22</v>
      </c>
      <c r="F9" s="2">
        <v>4660800</v>
      </c>
      <c r="G9" s="3">
        <f>Table6[[#This Row],[ '# units Projected With Program]]-Table6[[#This Row],['# Projected units Incented by Program]]</f>
        <v>120</v>
      </c>
      <c r="H9" s="3">
        <f>Table6[[#This Row],[ '# units Projected With Program (as of March 31 2025)]]-Table6[[#This Row],[Increase in projected units ]]</f>
        <v>240</v>
      </c>
      <c r="I9" s="3">
        <v>120</v>
      </c>
      <c r="J9" s="3">
        <v>240</v>
      </c>
      <c r="K9" s="3">
        <f>Table6[[#This Row],[ '# units Projected With Program (as of March 31 2025)]]-Table6[[#This Row],['# units Projected Without Program]]</f>
        <v>120</v>
      </c>
      <c r="L9" s="3"/>
      <c r="M9" s="3">
        <v>4660800</v>
      </c>
      <c r="O9"/>
    </row>
    <row r="10" spans="1:15" x14ac:dyDescent="0.35">
      <c r="A10" t="s">
        <v>24</v>
      </c>
      <c r="B10" t="s">
        <v>9</v>
      </c>
      <c r="C10" t="s">
        <v>17</v>
      </c>
      <c r="D10" t="s">
        <v>11</v>
      </c>
      <c r="E10" s="1" t="s">
        <v>25</v>
      </c>
      <c r="F10" s="2">
        <v>1568000</v>
      </c>
      <c r="G10" s="3">
        <f>Table6[[#This Row],[ '# units Projected With Program]]-Table6[[#This Row],['# Projected units Incented by Program]]</f>
        <v>11</v>
      </c>
      <c r="H10" s="3">
        <f>Table6[[#This Row],[ '# units Projected With Program (as of March 31 2025)]]-Table6[[#This Row],[Increase in projected units ]]</f>
        <v>60</v>
      </c>
      <c r="I10" s="3">
        <v>49</v>
      </c>
      <c r="J10" s="3">
        <v>65</v>
      </c>
      <c r="K10" s="3">
        <f>Table6[[#This Row],[ '# units Projected With Program (as of March 31 2025)]]-Table6[[#This Row],['# units Projected Without Program]]</f>
        <v>54</v>
      </c>
      <c r="L10" s="3">
        <v>5</v>
      </c>
      <c r="M10" s="3">
        <v>1728000</v>
      </c>
      <c r="O10"/>
    </row>
    <row r="11" spans="1:15" x14ac:dyDescent="0.35">
      <c r="A11" t="s">
        <v>26</v>
      </c>
      <c r="B11" t="s">
        <v>9</v>
      </c>
      <c r="C11" t="s">
        <v>17</v>
      </c>
      <c r="D11" t="s">
        <v>11</v>
      </c>
      <c r="E11" s="1" t="s">
        <v>27</v>
      </c>
      <c r="F11" s="2">
        <v>486002</v>
      </c>
      <c r="G11" s="3">
        <f>Table6[[#This Row],[ '# units Projected With Program]]-Table6[[#This Row],['# Projected units Incented by Program]]</f>
        <v>5</v>
      </c>
      <c r="H11" s="3">
        <f>Table6[[#This Row],[ '# units Projected With Program (as of March 31 2025)]]-Table6[[#This Row],[Increase in projected units ]]</f>
        <v>21</v>
      </c>
      <c r="I11" s="3">
        <v>16</v>
      </c>
      <c r="J11" s="3">
        <v>21</v>
      </c>
      <c r="K11" s="3">
        <f>Table6[[#This Row],[ '# units Projected With Program (as of March 31 2025)]]-Table6[[#This Row],['# units Projected Without Program]]</f>
        <v>16</v>
      </c>
      <c r="L11" s="3"/>
      <c r="M11" s="3">
        <v>486001.9</v>
      </c>
      <c r="O11"/>
    </row>
    <row r="12" spans="1:15" x14ac:dyDescent="0.35">
      <c r="A12" t="s">
        <v>28</v>
      </c>
      <c r="B12" t="s">
        <v>9</v>
      </c>
      <c r="C12" t="s">
        <v>17</v>
      </c>
      <c r="D12" t="s">
        <v>11</v>
      </c>
      <c r="E12" s="1">
        <v>45413</v>
      </c>
      <c r="F12" s="2">
        <v>1112000</v>
      </c>
      <c r="G12" s="3">
        <f>Table6[[#This Row],[ '# units Projected With Program]]-Table6[[#This Row],['# Projected units Incented by Program]]</f>
        <v>9</v>
      </c>
      <c r="H12" s="3">
        <f>Table6[[#This Row],[ '# units Projected With Program (as of March 31 2025)]]-Table6[[#This Row],[Increase in projected units ]]</f>
        <v>49</v>
      </c>
      <c r="I12" s="3">
        <v>40</v>
      </c>
      <c r="J12" s="3">
        <v>49</v>
      </c>
      <c r="K12" s="3">
        <f>Table6[[#This Row],[ '# units Projected With Program (as of March 31 2025)]]-Table6[[#This Row],['# units Projected Without Program]]</f>
        <v>40</v>
      </c>
      <c r="L12" s="3"/>
      <c r="M12" s="3">
        <v>1112000</v>
      </c>
      <c r="O12"/>
    </row>
    <row r="13" spans="1:15" x14ac:dyDescent="0.35">
      <c r="A13" t="s">
        <v>29</v>
      </c>
      <c r="B13" t="s">
        <v>9</v>
      </c>
      <c r="C13" t="s">
        <v>17</v>
      </c>
      <c r="D13" t="s">
        <v>11</v>
      </c>
      <c r="E13" s="1" t="s">
        <v>30</v>
      </c>
      <c r="F13" s="2">
        <v>527991</v>
      </c>
      <c r="G13" s="3">
        <f>Table6[[#This Row],[ '# units Projected With Program]]-Table6[[#This Row],['# Projected units Incented by Program]]</f>
        <v>3</v>
      </c>
      <c r="H13" s="3">
        <f>Table6[[#This Row],[ '# units Projected With Program (as of March 31 2025)]]-Table6[[#This Row],[Increase in projected units ]]</f>
        <v>19</v>
      </c>
      <c r="I13" s="3">
        <v>16</v>
      </c>
      <c r="J13" s="3">
        <v>19</v>
      </c>
      <c r="K13" s="3">
        <f>Table6[[#This Row],[ '# units Projected With Program (as of March 31 2025)]]-Table6[[#This Row],['# units Projected Without Program]]</f>
        <v>16</v>
      </c>
      <c r="L13" s="3"/>
      <c r="M13" s="3">
        <v>527990.5</v>
      </c>
      <c r="O13"/>
    </row>
    <row r="14" spans="1:15" x14ac:dyDescent="0.35">
      <c r="A14" t="s">
        <v>31</v>
      </c>
      <c r="B14" t="s">
        <v>32</v>
      </c>
      <c r="C14" t="s">
        <v>10</v>
      </c>
      <c r="D14" t="s">
        <v>11</v>
      </c>
      <c r="E14" s="1" t="s">
        <v>33</v>
      </c>
      <c r="F14" s="2">
        <v>25652770</v>
      </c>
      <c r="G14" s="3">
        <f>Table6[[#This Row],[ '# units Projected With Program]]-Table6[[#This Row],['# Projected units Incented by Program]]</f>
        <v>1953</v>
      </c>
      <c r="H14" s="3">
        <f>Table6[[#This Row],[ '# units Projected With Program (as of March 31 2025)]]-Table6[[#This Row],[Increase in projected units ]]</f>
        <v>2690</v>
      </c>
      <c r="I14" s="3">
        <v>737</v>
      </c>
      <c r="J14" s="3">
        <v>2690</v>
      </c>
      <c r="K14" s="3">
        <f>Table6[[#This Row],[ '# units Projected With Program (as of March 31 2025)]]-Table6[[#This Row],['# units Projected Without Program]]</f>
        <v>737</v>
      </c>
      <c r="L14" s="3"/>
      <c r="M14" s="3">
        <v>25652770</v>
      </c>
      <c r="O14"/>
    </row>
    <row r="15" spans="1:15" x14ac:dyDescent="0.35">
      <c r="A15" t="s">
        <v>34</v>
      </c>
      <c r="B15" t="s">
        <v>32</v>
      </c>
      <c r="C15" t="s">
        <v>17</v>
      </c>
      <c r="D15" t="s">
        <v>18</v>
      </c>
      <c r="E15" s="1" t="s">
        <v>35</v>
      </c>
      <c r="F15" s="2">
        <v>280520</v>
      </c>
      <c r="G15" s="3">
        <f>Table6[[#This Row],[ '# units Projected With Program]]-Table6[[#This Row],['# Projected units Incented by Program]]</f>
        <v>4</v>
      </c>
      <c r="H15" s="3">
        <f>Table6[[#This Row],[ '# units Projected With Program (as of March 31 2025)]]-Table6[[#This Row],[Increase in projected units ]]</f>
        <v>9</v>
      </c>
      <c r="I15" s="3">
        <v>5</v>
      </c>
      <c r="J15" s="3">
        <v>9</v>
      </c>
      <c r="K15" s="3">
        <f>Table6[[#This Row],[ '# units Projected With Program (as of March 31 2025)]]-Table6[[#This Row],['# units Projected Without Program]]</f>
        <v>5</v>
      </c>
      <c r="L15" s="3"/>
      <c r="M15" s="3">
        <v>280520</v>
      </c>
      <c r="O15"/>
    </row>
    <row r="16" spans="1:15" x14ac:dyDescent="0.35">
      <c r="A16" t="s">
        <v>36</v>
      </c>
      <c r="B16" t="s">
        <v>32</v>
      </c>
      <c r="C16" t="s">
        <v>17</v>
      </c>
      <c r="D16" t="s">
        <v>18</v>
      </c>
      <c r="E16" s="1">
        <v>45383</v>
      </c>
      <c r="F16" s="2">
        <v>520000</v>
      </c>
      <c r="G16" s="3">
        <f>Table6[[#This Row],[ '# units Projected With Program]]-Table6[[#This Row],['# Projected units Incented by Program]]</f>
        <v>0</v>
      </c>
      <c r="H16" s="3">
        <f>Table6[[#This Row],[ '# units Projected With Program (as of March 31 2025)]]-Table6[[#This Row],[Increase in projected units ]]</f>
        <v>8</v>
      </c>
      <c r="I16" s="3">
        <v>8</v>
      </c>
      <c r="J16" s="3">
        <v>8</v>
      </c>
      <c r="K16" s="3">
        <f>Table6[[#This Row],[ '# units Projected With Program (as of March 31 2025)]]-Table6[[#This Row],['# units Projected Without Program]]</f>
        <v>8</v>
      </c>
      <c r="L16" s="3"/>
      <c r="M16" s="3">
        <v>520000</v>
      </c>
      <c r="O16"/>
    </row>
    <row r="17" spans="1:15" x14ac:dyDescent="0.35">
      <c r="A17" t="s">
        <v>37</v>
      </c>
      <c r="B17" t="s">
        <v>32</v>
      </c>
      <c r="C17" t="s">
        <v>17</v>
      </c>
      <c r="D17" t="s">
        <v>11</v>
      </c>
      <c r="E17" s="1" t="s">
        <v>22</v>
      </c>
      <c r="F17" s="2">
        <v>1652000</v>
      </c>
      <c r="G17" s="3">
        <f>Table6[[#This Row],[ '# units Projected With Program]]-Table6[[#This Row],['# Projected units Incented by Program]]</f>
        <v>105</v>
      </c>
      <c r="H17" s="3">
        <f>Table6[[#This Row],[ '# units Projected With Program (as of March 31 2025)]]-Table6[[#This Row],[Increase in projected units ]]</f>
        <v>140</v>
      </c>
      <c r="I17" s="3">
        <v>35</v>
      </c>
      <c r="J17" s="3">
        <v>145</v>
      </c>
      <c r="K17" s="3">
        <f>Table6[[#This Row],[ '# units Projected With Program (as of March 31 2025)]]-Table6[[#This Row],['# units Projected Without Program]]</f>
        <v>40</v>
      </c>
      <c r="L17" s="3">
        <v>5</v>
      </c>
      <c r="M17" s="3">
        <v>1812000</v>
      </c>
      <c r="O17"/>
    </row>
    <row r="18" spans="1:15" x14ac:dyDescent="0.35">
      <c r="A18" t="s">
        <v>38</v>
      </c>
      <c r="B18" t="s">
        <v>32</v>
      </c>
      <c r="C18" t="s">
        <v>10</v>
      </c>
      <c r="D18" t="s">
        <v>11</v>
      </c>
      <c r="E18" s="1">
        <v>45028</v>
      </c>
      <c r="F18" s="2">
        <v>43409600</v>
      </c>
      <c r="G18" s="3">
        <f>Table6[[#This Row],[ '# units Projected With Program]]-Table6[[#This Row],['# Projected units Incented by Program]]</f>
        <v>10050</v>
      </c>
      <c r="H18" s="3">
        <f>Table6[[#This Row],[ '# units Projected With Program (as of March 31 2025)]]-Table6[[#This Row],[Increase in projected units ]]</f>
        <v>11340</v>
      </c>
      <c r="I18" s="3">
        <v>1290</v>
      </c>
      <c r="J18" s="3">
        <v>11340</v>
      </c>
      <c r="K18" s="3">
        <f>Table6[[#This Row],[ '# units Projected With Program (as of March 31 2025)]]-Table6[[#This Row],['# units Projected Without Program]]</f>
        <v>1290</v>
      </c>
      <c r="L18" s="3"/>
      <c r="M18" s="3">
        <v>43409600</v>
      </c>
      <c r="O18"/>
    </row>
    <row r="19" spans="1:15" x14ac:dyDescent="0.35">
      <c r="A19" t="s">
        <v>39</v>
      </c>
      <c r="B19" t="s">
        <v>32</v>
      </c>
      <c r="C19" t="s">
        <v>10</v>
      </c>
      <c r="D19" t="s">
        <v>11</v>
      </c>
      <c r="E19" s="1">
        <v>45597</v>
      </c>
      <c r="F19" s="2">
        <v>10420992</v>
      </c>
      <c r="G19" s="3">
        <f>Table6[[#This Row],[ '# units Projected With Program]]-Table6[[#This Row],['# Projected units Incented by Program]]</f>
        <v>995</v>
      </c>
      <c r="H19" s="3">
        <f>Table6[[#This Row],[ '# units Projected With Program (as of March 31 2025)]]-Table6[[#This Row],[Increase in projected units ]]</f>
        <v>1277</v>
      </c>
      <c r="I19" s="3">
        <v>282</v>
      </c>
      <c r="J19" s="3">
        <v>1277</v>
      </c>
      <c r="K19" s="3">
        <f>Table6[[#This Row],[ '# units Projected With Program (as of March 31 2025)]]-Table6[[#This Row],['# units Projected Without Program]]</f>
        <v>282</v>
      </c>
      <c r="L19" s="3"/>
      <c r="M19" s="3">
        <v>10420992.300000001</v>
      </c>
      <c r="O19"/>
    </row>
    <row r="20" spans="1:15" x14ac:dyDescent="0.35">
      <c r="A20" t="s">
        <v>40</v>
      </c>
      <c r="B20" t="s">
        <v>32</v>
      </c>
      <c r="C20" t="s">
        <v>10</v>
      </c>
      <c r="D20" t="s">
        <v>11</v>
      </c>
      <c r="E20" s="1" t="s">
        <v>30</v>
      </c>
      <c r="F20" s="2">
        <v>25027966</v>
      </c>
      <c r="G20" s="3">
        <f>Table6[[#This Row],[ '# units Projected With Program]]-Table6[[#This Row],['# Projected units Incented by Program]]</f>
        <v>5777</v>
      </c>
      <c r="H20" s="3">
        <f>Table6[[#This Row],[ '# units Projected With Program (as of March 31 2025)]]-Table6[[#This Row],[Increase in projected units ]]</f>
        <v>6443</v>
      </c>
      <c r="I20" s="3">
        <v>666</v>
      </c>
      <c r="J20" s="3">
        <v>6523</v>
      </c>
      <c r="K20" s="3">
        <f>Table6[[#This Row],[ '# units Projected With Program (as of March 31 2025)]]-Table6[[#This Row],['# units Projected Without Program]]</f>
        <v>746</v>
      </c>
      <c r="L20" s="3">
        <v>80</v>
      </c>
      <c r="M20" s="3">
        <v>27507965.5</v>
      </c>
      <c r="O20"/>
    </row>
    <row r="21" spans="1:15" x14ac:dyDescent="0.35">
      <c r="A21" t="s">
        <v>41</v>
      </c>
      <c r="B21" t="s">
        <v>32</v>
      </c>
      <c r="C21" t="s">
        <v>10</v>
      </c>
      <c r="D21" t="s">
        <v>11</v>
      </c>
      <c r="E21" s="1" t="s">
        <v>42</v>
      </c>
      <c r="F21" s="2">
        <v>18599100</v>
      </c>
      <c r="G21" s="3">
        <f>Table6[[#This Row],[ '# units Projected With Program]]-Table6[[#This Row],['# Projected units Incented by Program]]</f>
        <v>1365</v>
      </c>
      <c r="H21" s="3">
        <f>Table6[[#This Row],[ '# units Projected With Program (as of March 31 2025)]]-Table6[[#This Row],[Increase in projected units ]]</f>
        <v>1895</v>
      </c>
      <c r="I21" s="3">
        <v>530</v>
      </c>
      <c r="J21" s="3">
        <v>1895</v>
      </c>
      <c r="K21" s="3">
        <f>Table6[[#This Row],[ '# units Projected With Program (as of March 31 2025)]]-Table6[[#This Row],['# units Projected Without Program]]</f>
        <v>530</v>
      </c>
      <c r="L21" s="3"/>
      <c r="M21" s="3">
        <v>18599100</v>
      </c>
      <c r="O21"/>
    </row>
    <row r="22" spans="1:15" x14ac:dyDescent="0.35">
      <c r="A22" t="s">
        <v>43</v>
      </c>
      <c r="B22" t="s">
        <v>32</v>
      </c>
      <c r="C22" t="s">
        <v>10</v>
      </c>
      <c r="D22" t="s">
        <v>11</v>
      </c>
      <c r="E22" s="1" t="s">
        <v>14</v>
      </c>
      <c r="F22" s="2">
        <v>14936101</v>
      </c>
      <c r="G22" s="3">
        <f>Table6[[#This Row],[ '# units Projected With Program]]-Table6[[#This Row],['# Projected units Incented by Program]]</f>
        <v>1214</v>
      </c>
      <c r="H22" s="3">
        <f>Table6[[#This Row],[ '# units Projected With Program (as of March 31 2025)]]-Table6[[#This Row],[Increase in projected units ]]</f>
        <v>1727</v>
      </c>
      <c r="I22" s="3">
        <v>513</v>
      </c>
      <c r="J22" s="3">
        <v>1727</v>
      </c>
      <c r="K22" s="3">
        <f>Table6[[#This Row],[ '# units Projected With Program (as of March 31 2025)]]-Table6[[#This Row],['# units Projected Without Program]]</f>
        <v>513</v>
      </c>
      <c r="L22" s="3"/>
      <c r="M22" s="3">
        <v>14936100.699999999</v>
      </c>
      <c r="O22"/>
    </row>
    <row r="23" spans="1:15" x14ac:dyDescent="0.35">
      <c r="A23" t="s">
        <v>44</v>
      </c>
      <c r="B23" t="s">
        <v>32</v>
      </c>
      <c r="C23" t="s">
        <v>10</v>
      </c>
      <c r="D23" t="s">
        <v>11</v>
      </c>
      <c r="E23" s="1">
        <v>45627</v>
      </c>
      <c r="F23" s="2">
        <v>7007894</v>
      </c>
      <c r="G23" s="3">
        <f>Table6[[#This Row],[ '# units Projected With Program]]-Table6[[#This Row],['# Projected units Incented by Program]]</f>
        <v>1336</v>
      </c>
      <c r="H23" s="3">
        <f>Table6[[#This Row],[ '# units Projected With Program (as of March 31 2025)]]-Table6[[#This Row],[Increase in projected units ]]</f>
        <v>1539</v>
      </c>
      <c r="I23" s="3">
        <v>203</v>
      </c>
      <c r="J23" s="3">
        <v>1539</v>
      </c>
      <c r="K23" s="3">
        <f>Table6[[#This Row],[ '# units Projected With Program (as of March 31 2025)]]-Table6[[#This Row],['# units Projected Without Program]]</f>
        <v>203</v>
      </c>
      <c r="L23" s="3"/>
      <c r="M23" s="3">
        <v>7007894.2999999998</v>
      </c>
      <c r="O23"/>
    </row>
    <row r="24" spans="1:15" x14ac:dyDescent="0.35">
      <c r="A24" t="s">
        <v>45</v>
      </c>
      <c r="B24" t="s">
        <v>32</v>
      </c>
      <c r="C24" t="s">
        <v>17</v>
      </c>
      <c r="D24" t="s">
        <v>11</v>
      </c>
      <c r="E24" s="1" t="s">
        <v>46</v>
      </c>
      <c r="F24" s="2">
        <v>1487175</v>
      </c>
      <c r="G24" s="3">
        <f>Table6[[#This Row],[ '# units Projected With Program]]-Table6[[#This Row],['# Projected units Incented by Program]]</f>
        <v>178</v>
      </c>
      <c r="H24" s="3">
        <f>Table6[[#This Row],[ '# units Projected With Program (as of March 31 2025)]]-Table6[[#This Row],[Increase in projected units ]]</f>
        <v>212</v>
      </c>
      <c r="I24" s="3">
        <v>34</v>
      </c>
      <c r="J24" s="3">
        <v>212</v>
      </c>
      <c r="K24" s="3">
        <f>Table6[[#This Row],[ '# units Projected With Program (as of March 31 2025)]]-Table6[[#This Row],['# units Projected Without Program]]</f>
        <v>34</v>
      </c>
      <c r="L24" s="3"/>
      <c r="M24" s="3">
        <v>1487174.8</v>
      </c>
      <c r="O24"/>
    </row>
    <row r="25" spans="1:15" x14ac:dyDescent="0.35">
      <c r="A25" t="s">
        <v>47</v>
      </c>
      <c r="B25" t="s">
        <v>32</v>
      </c>
      <c r="C25" t="s">
        <v>17</v>
      </c>
      <c r="D25" t="s">
        <v>11</v>
      </c>
      <c r="E25" s="1" t="s">
        <v>48</v>
      </c>
      <c r="F25" s="2">
        <v>2095293</v>
      </c>
      <c r="G25" s="3">
        <f>Table6[[#This Row],[ '# units Projected With Program]]-Table6[[#This Row],['# Projected units Incented by Program]]</f>
        <v>100</v>
      </c>
      <c r="H25" s="3">
        <f>Table6[[#This Row],[ '# units Projected With Program (as of March 31 2025)]]-Table6[[#This Row],[Increase in projected units ]]</f>
        <v>165</v>
      </c>
      <c r="I25" s="3">
        <v>65</v>
      </c>
      <c r="J25" s="3">
        <v>165</v>
      </c>
      <c r="K25" s="3">
        <f>Table6[[#This Row],[ '# units Projected With Program (as of March 31 2025)]]-Table6[[#This Row],['# units Projected Without Program]]</f>
        <v>65</v>
      </c>
      <c r="L25" s="3"/>
      <c r="M25" s="3">
        <v>2095292.5</v>
      </c>
      <c r="O25"/>
    </row>
    <row r="26" spans="1:15" x14ac:dyDescent="0.35">
      <c r="A26" t="s">
        <v>49</v>
      </c>
      <c r="B26" t="s">
        <v>32</v>
      </c>
      <c r="C26" t="s">
        <v>17</v>
      </c>
      <c r="D26" t="s">
        <v>11</v>
      </c>
      <c r="E26" s="1" t="s">
        <v>50</v>
      </c>
      <c r="F26" s="2">
        <v>2637814</v>
      </c>
      <c r="G26" s="3">
        <f>Table6[[#This Row],[ '# units Projected With Program]]-Table6[[#This Row],['# Projected units Incented by Program]]</f>
        <v>240</v>
      </c>
      <c r="H26" s="3">
        <f>Table6[[#This Row],[ '# units Projected With Program (as of March 31 2025)]]-Table6[[#This Row],[Increase in projected units ]]</f>
        <v>313</v>
      </c>
      <c r="I26" s="3">
        <v>73</v>
      </c>
      <c r="J26" s="3">
        <v>313</v>
      </c>
      <c r="K26" s="3">
        <f>Table6[[#This Row],[ '# units Projected With Program (as of March 31 2025)]]-Table6[[#This Row],['# units Projected Without Program]]</f>
        <v>73</v>
      </c>
      <c r="L26" s="3"/>
      <c r="M26" s="3">
        <v>2637813.7999999998</v>
      </c>
      <c r="O26"/>
    </row>
    <row r="27" spans="1:15" x14ac:dyDescent="0.35">
      <c r="A27" t="s">
        <v>51</v>
      </c>
      <c r="B27" t="s">
        <v>32</v>
      </c>
      <c r="C27" t="s">
        <v>10</v>
      </c>
      <c r="D27" t="s">
        <v>11</v>
      </c>
      <c r="E27" s="1" t="s">
        <v>52</v>
      </c>
      <c r="F27" s="2">
        <v>31558610</v>
      </c>
      <c r="G27" s="3">
        <f>Table6[[#This Row],[ '# units Projected With Program]]-Table6[[#This Row],['# Projected units Incented by Program]]</f>
        <v>6480</v>
      </c>
      <c r="H27" s="3">
        <f>Table6[[#This Row],[ '# units Projected With Program (as of March 31 2025)]]-Table6[[#This Row],[Increase in projected units ]]</f>
        <v>7430</v>
      </c>
      <c r="I27" s="3">
        <v>950</v>
      </c>
      <c r="J27" s="3">
        <v>7430</v>
      </c>
      <c r="K27" s="3">
        <f>Table6[[#This Row],[ '# units Projected With Program (as of March 31 2025)]]-Table6[[#This Row],['# units Projected Without Program]]</f>
        <v>950</v>
      </c>
      <c r="L27" s="3"/>
      <c r="M27" s="3">
        <v>31558610</v>
      </c>
      <c r="O27"/>
    </row>
    <row r="28" spans="1:15" x14ac:dyDescent="0.35">
      <c r="A28" t="s">
        <v>53</v>
      </c>
      <c r="B28" t="s">
        <v>32</v>
      </c>
      <c r="C28" t="s">
        <v>17</v>
      </c>
      <c r="D28" t="s">
        <v>18</v>
      </c>
      <c r="E28" s="1" t="s">
        <v>54</v>
      </c>
      <c r="F28" s="2">
        <v>1089122</v>
      </c>
      <c r="G28" s="3">
        <f>Table6[[#This Row],[ '# units Projected With Program]]-Table6[[#This Row],['# Projected units Incented by Program]]</f>
        <v>16</v>
      </c>
      <c r="H28" s="3">
        <f>Table6[[#This Row],[ '# units Projected With Program (as of March 31 2025)]]-Table6[[#This Row],[Increase in projected units ]]</f>
        <v>37</v>
      </c>
      <c r="I28" s="3">
        <v>21</v>
      </c>
      <c r="J28" s="3">
        <v>37</v>
      </c>
      <c r="K28" s="3">
        <f>Table6[[#This Row],[ '# units Projected With Program (as of March 31 2025)]]-Table6[[#This Row],['# units Projected Without Program]]</f>
        <v>21</v>
      </c>
      <c r="L28" s="3"/>
      <c r="M28" s="3">
        <v>1089122.3</v>
      </c>
      <c r="O28"/>
    </row>
    <row r="29" spans="1:15" x14ac:dyDescent="0.35">
      <c r="A29" t="s">
        <v>55</v>
      </c>
      <c r="B29" t="s">
        <v>32</v>
      </c>
      <c r="C29" t="s">
        <v>17</v>
      </c>
      <c r="D29" t="s">
        <v>18</v>
      </c>
      <c r="E29" s="1">
        <v>45597</v>
      </c>
      <c r="F29" s="2">
        <v>757000</v>
      </c>
      <c r="G29" s="3">
        <f>Table6[[#This Row],[ '# units Projected With Program]]-Table6[[#This Row],['# Projected units Incented by Program]]</f>
        <v>1</v>
      </c>
      <c r="H29" s="3">
        <f>Table6[[#This Row],[ '# units Projected With Program (as of March 31 2025)]]-Table6[[#This Row],[Increase in projected units ]]</f>
        <v>12</v>
      </c>
      <c r="I29" s="3">
        <v>11</v>
      </c>
      <c r="J29" s="3">
        <v>12</v>
      </c>
      <c r="K29" s="3">
        <f>Table6[[#This Row],[ '# units Projected With Program (as of March 31 2025)]]-Table6[[#This Row],['# units Projected Without Program]]</f>
        <v>11</v>
      </c>
      <c r="L29" s="3"/>
      <c r="M29" s="3">
        <v>757000</v>
      </c>
      <c r="O29"/>
    </row>
    <row r="30" spans="1:15" x14ac:dyDescent="0.35">
      <c r="A30" t="s">
        <v>56</v>
      </c>
      <c r="B30" t="s">
        <v>32</v>
      </c>
      <c r="C30" t="s">
        <v>17</v>
      </c>
      <c r="D30" t="s">
        <v>18</v>
      </c>
      <c r="E30" s="1" t="s">
        <v>57</v>
      </c>
      <c r="F30" s="2">
        <v>1396000</v>
      </c>
      <c r="G30" s="3">
        <f>Table6[[#This Row],[ '# units Projected With Program]]-Table6[[#This Row],['# Projected units Incented by Program]]</f>
        <v>6</v>
      </c>
      <c r="H30" s="3">
        <f>Table6[[#This Row],[ '# units Projected With Program (as of March 31 2025)]]-Table6[[#This Row],[Increase in projected units ]]</f>
        <v>26</v>
      </c>
      <c r="I30" s="3">
        <v>20</v>
      </c>
      <c r="J30" s="3">
        <v>26</v>
      </c>
      <c r="K30" s="3">
        <f>Table6[[#This Row],[ '# units Projected With Program (as of March 31 2025)]]-Table6[[#This Row],['# units Projected Without Program]]</f>
        <v>20</v>
      </c>
      <c r="L30" s="3"/>
      <c r="M30" s="3">
        <v>1396000</v>
      </c>
      <c r="O30"/>
    </row>
    <row r="31" spans="1:15" x14ac:dyDescent="0.35">
      <c r="A31" t="s">
        <v>58</v>
      </c>
      <c r="B31" t="s">
        <v>32</v>
      </c>
      <c r="C31" t="s">
        <v>10</v>
      </c>
      <c r="D31" t="s">
        <v>11</v>
      </c>
      <c r="E31" s="1" t="s">
        <v>59</v>
      </c>
      <c r="F31" s="2">
        <v>35932000</v>
      </c>
      <c r="G31" s="3">
        <f>Table6[[#This Row],[ '# units Projected With Program]]-Table6[[#This Row],['# Projected units Incented by Program]]</f>
        <v>4972</v>
      </c>
      <c r="H31" s="3">
        <f>Table6[[#This Row],[ '# units Projected With Program (as of March 31 2025)]]-Table6[[#This Row],[Increase in projected units ]]</f>
        <v>5994</v>
      </c>
      <c r="I31" s="3">
        <v>1022</v>
      </c>
      <c r="J31" s="3">
        <v>5994</v>
      </c>
      <c r="K31" s="3">
        <f>Table6[[#This Row],[ '# units Projected With Program (as of March 31 2025)]]-Table6[[#This Row],['# units Projected Without Program]]</f>
        <v>1022</v>
      </c>
      <c r="L31" s="3"/>
      <c r="M31" s="3">
        <v>35932000</v>
      </c>
      <c r="O31"/>
    </row>
    <row r="32" spans="1:15" x14ac:dyDescent="0.35">
      <c r="A32" t="s">
        <v>60</v>
      </c>
      <c r="B32" t="s">
        <v>32</v>
      </c>
      <c r="C32" t="s">
        <v>17</v>
      </c>
      <c r="D32" t="s">
        <v>18</v>
      </c>
      <c r="E32" s="1" t="s">
        <v>61</v>
      </c>
      <c r="F32" s="2">
        <v>2992000</v>
      </c>
      <c r="G32" s="3">
        <f>Table6[[#This Row],[ '# units Projected With Program]]-Table6[[#This Row],['# Projected units Incented by Program]]</f>
        <v>10</v>
      </c>
      <c r="H32" s="3">
        <f>Table6[[#This Row],[ '# units Projected With Program (as of March 31 2025)]]-Table6[[#This Row],[Increase in projected units ]]</f>
        <v>60</v>
      </c>
      <c r="I32" s="3">
        <v>50</v>
      </c>
      <c r="J32" s="3">
        <v>60</v>
      </c>
      <c r="K32" s="3">
        <f>Table6[[#This Row],[ '# units Projected With Program (as of March 31 2025)]]-Table6[[#This Row],['# units Projected Without Program]]</f>
        <v>50</v>
      </c>
      <c r="L32" s="3"/>
      <c r="M32" s="3">
        <v>2992000</v>
      </c>
      <c r="O32"/>
    </row>
    <row r="33" spans="1:15" x14ac:dyDescent="0.35">
      <c r="A33" t="s">
        <v>62</v>
      </c>
      <c r="B33" t="s">
        <v>32</v>
      </c>
      <c r="C33" t="s">
        <v>17</v>
      </c>
      <c r="D33" t="s">
        <v>18</v>
      </c>
      <c r="E33" s="1" t="s">
        <v>35</v>
      </c>
      <c r="F33" s="2">
        <v>368000</v>
      </c>
      <c r="G33" s="3">
        <f>Table6[[#This Row],[ '# units Projected With Program]]-Table6[[#This Row],['# Projected units Incented by Program]]</f>
        <v>4</v>
      </c>
      <c r="H33" s="3">
        <f>Table6[[#This Row],[ '# units Projected With Program (as of March 31 2025)]]-Table6[[#This Row],[Increase in projected units ]]</f>
        <v>10</v>
      </c>
      <c r="I33" s="3">
        <v>6</v>
      </c>
      <c r="J33" s="3">
        <v>10</v>
      </c>
      <c r="K33" s="3">
        <f>Table6[[#This Row],[ '# units Projected With Program (as of March 31 2025)]]-Table6[[#This Row],['# units Projected Without Program]]</f>
        <v>6</v>
      </c>
      <c r="L33" s="3"/>
      <c r="M33" s="3">
        <v>368000</v>
      </c>
      <c r="O33"/>
    </row>
    <row r="34" spans="1:15" x14ac:dyDescent="0.35">
      <c r="A34" t="s">
        <v>63</v>
      </c>
      <c r="B34" t="s">
        <v>32</v>
      </c>
      <c r="C34" t="s">
        <v>17</v>
      </c>
      <c r="D34" t="s">
        <v>11</v>
      </c>
      <c r="E34" s="1" t="s">
        <v>64</v>
      </c>
      <c r="F34" s="2">
        <v>1525799</v>
      </c>
      <c r="G34" s="3">
        <f>Table6[[#This Row],[ '# units Projected With Program]]-Table6[[#This Row],['# Projected units Incented by Program]]</f>
        <v>248</v>
      </c>
      <c r="H34" s="3">
        <f>Table6[[#This Row],[ '# units Projected With Program (as of March 31 2025)]]-Table6[[#This Row],[Increase in projected units ]]</f>
        <v>281</v>
      </c>
      <c r="I34" s="3">
        <v>33</v>
      </c>
      <c r="J34" s="3">
        <v>281</v>
      </c>
      <c r="K34" s="3">
        <f>Table6[[#This Row],[ '# units Projected With Program (as of March 31 2025)]]-Table6[[#This Row],['# units Projected Without Program]]</f>
        <v>33</v>
      </c>
      <c r="L34" s="3"/>
      <c r="M34" s="3">
        <v>1525798.6</v>
      </c>
      <c r="O34"/>
    </row>
    <row r="35" spans="1:15" x14ac:dyDescent="0.35">
      <c r="A35" t="s">
        <v>65</v>
      </c>
      <c r="B35" t="s">
        <v>32</v>
      </c>
      <c r="C35" t="s">
        <v>10</v>
      </c>
      <c r="D35" t="s">
        <v>11</v>
      </c>
      <c r="E35" s="1">
        <v>45028</v>
      </c>
      <c r="F35" s="2">
        <v>95641500</v>
      </c>
      <c r="G35" s="3">
        <f>Table6[[#This Row],[ '# units Projected With Program]]-Table6[[#This Row],['# Projected units Incented by Program]]</f>
        <v>10050</v>
      </c>
      <c r="H35" s="3">
        <f>Table6[[#This Row],[ '# units Projected With Program (as of March 31 2025)]]-Table6[[#This Row],[Increase in projected units ]]</f>
        <v>12850</v>
      </c>
      <c r="I35" s="3">
        <v>2800</v>
      </c>
      <c r="J35" s="3">
        <v>13000</v>
      </c>
      <c r="K35" s="3">
        <f>Table6[[#This Row],[ '# units Projected With Program (as of March 31 2025)]]-Table6[[#This Row],['# units Projected Without Program]]</f>
        <v>2950</v>
      </c>
      <c r="L35" s="3">
        <v>150</v>
      </c>
      <c r="M35" s="3">
        <v>100741500</v>
      </c>
      <c r="O35"/>
    </row>
    <row r="36" spans="1:15" x14ac:dyDescent="0.35">
      <c r="A36" t="s">
        <v>66</v>
      </c>
      <c r="B36" t="s">
        <v>32</v>
      </c>
      <c r="C36" t="s">
        <v>10</v>
      </c>
      <c r="D36" t="s">
        <v>11</v>
      </c>
      <c r="E36" s="1" t="s">
        <v>14</v>
      </c>
      <c r="F36" s="2">
        <v>11428628</v>
      </c>
      <c r="G36" s="3">
        <f>Table6[[#This Row],[ '# units Projected With Program]]-Table6[[#This Row],['# Projected units Incented by Program]]</f>
        <v>2035</v>
      </c>
      <c r="H36" s="3">
        <f>Table6[[#This Row],[ '# units Projected With Program (as of March 31 2025)]]-Table6[[#This Row],[Increase in projected units ]]</f>
        <v>2346</v>
      </c>
      <c r="I36" s="3">
        <v>311</v>
      </c>
      <c r="J36" s="3">
        <v>2346</v>
      </c>
      <c r="K36" s="3">
        <f>Table6[[#This Row],[ '# units Projected With Program (as of March 31 2025)]]-Table6[[#This Row],['# units Projected Without Program]]</f>
        <v>311</v>
      </c>
      <c r="L36" s="3"/>
      <c r="M36" s="3">
        <v>11428628</v>
      </c>
      <c r="O36"/>
    </row>
    <row r="37" spans="1:15" x14ac:dyDescent="0.35">
      <c r="A37" t="s">
        <v>67</v>
      </c>
      <c r="B37" t="s">
        <v>32</v>
      </c>
      <c r="C37" t="s">
        <v>10</v>
      </c>
      <c r="D37" t="s">
        <v>11</v>
      </c>
      <c r="E37" s="1" t="s">
        <v>64</v>
      </c>
      <c r="F37" s="2">
        <v>5104223</v>
      </c>
      <c r="G37" s="3">
        <f>Table6[[#This Row],[ '# units Projected With Program]]-Table6[[#This Row],['# Projected units Incented by Program]]</f>
        <v>628</v>
      </c>
      <c r="H37" s="3">
        <f>Table6[[#This Row],[ '# units Projected With Program (as of March 31 2025)]]-Table6[[#This Row],[Increase in projected units ]]</f>
        <v>801</v>
      </c>
      <c r="I37" s="3">
        <v>173</v>
      </c>
      <c r="J37" s="3">
        <v>801</v>
      </c>
      <c r="K37" s="3">
        <f>Table6[[#This Row],[ '# units Projected With Program (as of March 31 2025)]]-Table6[[#This Row],['# units Projected Without Program]]</f>
        <v>173</v>
      </c>
      <c r="L37" s="3"/>
      <c r="M37" s="3">
        <v>5104222.7</v>
      </c>
      <c r="O37"/>
    </row>
    <row r="38" spans="1:15" x14ac:dyDescent="0.35">
      <c r="A38" t="s">
        <v>68</v>
      </c>
      <c r="B38" t="s">
        <v>32</v>
      </c>
      <c r="C38" t="s">
        <v>17</v>
      </c>
      <c r="D38" t="s">
        <v>11</v>
      </c>
      <c r="E38" s="1" t="s">
        <v>69</v>
      </c>
      <c r="F38" s="2">
        <v>2110142</v>
      </c>
      <c r="G38" s="3">
        <f>Table6[[#This Row],[ '# units Projected With Program]]-Table6[[#This Row],['# Projected units Incented by Program]]</f>
        <v>212</v>
      </c>
      <c r="H38" s="3">
        <f>Table6[[#This Row],[ '# units Projected With Program (as of March 31 2025)]]-Table6[[#This Row],[Increase in projected units ]]</f>
        <v>270</v>
      </c>
      <c r="I38" s="3">
        <v>58</v>
      </c>
      <c r="J38" s="3">
        <v>274</v>
      </c>
      <c r="K38" s="3">
        <f>Table6[[#This Row],[ '# units Projected With Program (as of March 31 2025)]]-Table6[[#This Row],['# units Projected Without Program]]</f>
        <v>62</v>
      </c>
      <c r="L38" s="3">
        <v>4</v>
      </c>
      <c r="M38" s="3">
        <v>2314142</v>
      </c>
      <c r="O38"/>
    </row>
    <row r="39" spans="1:15" x14ac:dyDescent="0.35">
      <c r="A39" t="s">
        <v>70</v>
      </c>
      <c r="B39" t="s">
        <v>32</v>
      </c>
      <c r="C39" t="s">
        <v>17</v>
      </c>
      <c r="D39" t="s">
        <v>11</v>
      </c>
      <c r="E39" s="1" t="s">
        <v>42</v>
      </c>
      <c r="F39" s="2">
        <v>885750</v>
      </c>
      <c r="G39" s="3">
        <f>Table6[[#This Row],[ '# units Projected With Program]]-Table6[[#This Row],['# Projected units Incented by Program]]</f>
        <v>75</v>
      </c>
      <c r="H39" s="3">
        <f>Table6[[#This Row],[ '# units Projected With Program (as of March 31 2025)]]-Table6[[#This Row],[Increase in projected units ]]</f>
        <v>95</v>
      </c>
      <c r="I39" s="3">
        <v>20</v>
      </c>
      <c r="J39" s="3">
        <v>95</v>
      </c>
      <c r="K39" s="3">
        <f>Table6[[#This Row],[ '# units Projected With Program (as of March 31 2025)]]-Table6[[#This Row],['# units Projected Without Program]]</f>
        <v>20</v>
      </c>
      <c r="L39" s="3"/>
      <c r="M39" s="3">
        <v>885750</v>
      </c>
      <c r="O39"/>
    </row>
    <row r="40" spans="1:15" x14ac:dyDescent="0.35">
      <c r="A40" t="s">
        <v>71</v>
      </c>
      <c r="B40" t="s">
        <v>32</v>
      </c>
      <c r="C40" t="s">
        <v>17</v>
      </c>
      <c r="D40" t="s">
        <v>18</v>
      </c>
      <c r="E40" s="1" t="s">
        <v>30</v>
      </c>
      <c r="F40" s="2">
        <v>1065000</v>
      </c>
      <c r="G40" s="3">
        <f>Table6[[#This Row],[ '# units Projected With Program]]-Table6[[#This Row],['# Projected units Incented by Program]]</f>
        <v>6</v>
      </c>
      <c r="H40" s="3">
        <f>Table6[[#This Row],[ '# units Projected With Program (as of March 31 2025)]]-Table6[[#This Row],[Increase in projected units ]]</f>
        <v>21</v>
      </c>
      <c r="I40" s="3">
        <v>15</v>
      </c>
      <c r="J40" s="3">
        <v>23</v>
      </c>
      <c r="K40" s="3">
        <f>Table6[[#This Row],[ '# units Projected With Program (as of March 31 2025)]]-Table6[[#This Row],['# units Projected Without Program]]</f>
        <v>17</v>
      </c>
      <c r="L40" s="3">
        <v>2</v>
      </c>
      <c r="M40" s="3">
        <v>1207000</v>
      </c>
      <c r="O40"/>
    </row>
    <row r="41" spans="1:15" x14ac:dyDescent="0.35">
      <c r="A41" t="s">
        <v>72</v>
      </c>
      <c r="B41" t="s">
        <v>32</v>
      </c>
      <c r="C41" t="s">
        <v>17</v>
      </c>
      <c r="D41" t="s">
        <v>18</v>
      </c>
      <c r="E41" s="1" t="s">
        <v>25</v>
      </c>
      <c r="F41" s="2">
        <v>2480000</v>
      </c>
      <c r="G41" s="3">
        <f>Table6[[#This Row],[ '# units Projected With Program]]-Table6[[#This Row],['# Projected units Incented by Program]]</f>
        <v>18</v>
      </c>
      <c r="H41" s="3">
        <f>Table6[[#This Row],[ '# units Projected With Program (as of March 31 2025)]]-Table6[[#This Row],[Increase in projected units ]]</f>
        <v>60</v>
      </c>
      <c r="I41" s="3">
        <v>42</v>
      </c>
      <c r="J41" s="3">
        <v>64</v>
      </c>
      <c r="K41" s="3">
        <f>Table6[[#This Row],[ '# units Projected With Program (as of March 31 2025)]]-Table6[[#This Row],['# units Projected Without Program]]</f>
        <v>46</v>
      </c>
      <c r="L41" s="3">
        <v>4</v>
      </c>
      <c r="M41" s="3">
        <v>2764000</v>
      </c>
      <c r="O41"/>
    </row>
    <row r="42" spans="1:15" x14ac:dyDescent="0.35">
      <c r="A42" t="s">
        <v>73</v>
      </c>
      <c r="B42" t="s">
        <v>32</v>
      </c>
      <c r="C42" t="s">
        <v>17</v>
      </c>
      <c r="D42" t="s">
        <v>18</v>
      </c>
      <c r="E42" s="1">
        <v>45352</v>
      </c>
      <c r="F42" s="2">
        <v>455000</v>
      </c>
      <c r="G42" s="3">
        <f>Table6[[#This Row],[ '# units Projected With Program]]-Table6[[#This Row],['# Projected units Incented by Program]]</f>
        <v>4</v>
      </c>
      <c r="H42" s="3">
        <f>Table6[[#This Row],[ '# units Projected With Program (as of March 31 2025)]]-Table6[[#This Row],[Increase in projected units ]]</f>
        <v>11</v>
      </c>
      <c r="I42" s="3">
        <v>7</v>
      </c>
      <c r="J42" s="3">
        <v>11</v>
      </c>
      <c r="K42" s="3">
        <f>Table6[[#This Row],[ '# units Projected With Program (as of March 31 2025)]]-Table6[[#This Row],['# units Projected Without Program]]</f>
        <v>7</v>
      </c>
      <c r="L42" s="3"/>
      <c r="M42" s="3">
        <v>455000</v>
      </c>
      <c r="O42"/>
    </row>
    <row r="43" spans="1:15" x14ac:dyDescent="0.35">
      <c r="A43" t="s">
        <v>74</v>
      </c>
      <c r="B43" t="s">
        <v>32</v>
      </c>
      <c r="C43" t="s">
        <v>10</v>
      </c>
      <c r="D43" t="s">
        <v>11</v>
      </c>
      <c r="E43" s="1">
        <v>45088</v>
      </c>
      <c r="F43" s="2">
        <v>114983000</v>
      </c>
      <c r="G43" s="3">
        <f>Table6[[#This Row],[ '# units Projected With Program]]-Table6[[#This Row],['# Projected units Incented by Program]]</f>
        <v>12500</v>
      </c>
      <c r="H43" s="3">
        <f>Table6[[#This Row],[ '# units Projected With Program (as of March 31 2025)]]-Table6[[#This Row],[Increase in projected units ]]</f>
        <v>15700</v>
      </c>
      <c r="I43" s="3">
        <v>3200</v>
      </c>
      <c r="J43" s="3">
        <v>15825</v>
      </c>
      <c r="K43" s="3">
        <f>Table6[[#This Row],[ '# units Projected With Program (as of March 31 2025)]]-Table6[[#This Row],['# units Projected Without Program]]</f>
        <v>3325</v>
      </c>
      <c r="L43" s="3">
        <v>125</v>
      </c>
      <c r="M43" s="3">
        <v>119358000</v>
      </c>
      <c r="O43"/>
    </row>
    <row r="44" spans="1:15" x14ac:dyDescent="0.35">
      <c r="A44" t="s">
        <v>75</v>
      </c>
      <c r="B44" t="s">
        <v>32</v>
      </c>
      <c r="C44" t="s">
        <v>10</v>
      </c>
      <c r="D44" t="s">
        <v>11</v>
      </c>
      <c r="E44" s="1" t="s">
        <v>76</v>
      </c>
      <c r="F44" s="2">
        <v>17940560</v>
      </c>
      <c r="G44" s="3">
        <f>Table6[[#This Row],[ '# units Projected With Program]]-Table6[[#This Row],['# Projected units Incented by Program]]</f>
        <v>2741</v>
      </c>
      <c r="H44" s="3">
        <f>Table6[[#This Row],[ '# units Projected With Program (as of March 31 2025)]]-Table6[[#This Row],[Increase in projected units ]]</f>
        <v>3203</v>
      </c>
      <c r="I44" s="3">
        <v>462</v>
      </c>
      <c r="J44" s="3">
        <v>3203</v>
      </c>
      <c r="K44" s="3">
        <f>Table6[[#This Row],[ '# units Projected With Program (as of March 31 2025)]]-Table6[[#This Row],['# units Projected Without Program]]</f>
        <v>462</v>
      </c>
      <c r="L44" s="3"/>
      <c r="M44" s="3">
        <v>17940560</v>
      </c>
      <c r="O44"/>
    </row>
    <row r="45" spans="1:15" x14ac:dyDescent="0.35">
      <c r="A45" t="s">
        <v>77</v>
      </c>
      <c r="B45" t="s">
        <v>32</v>
      </c>
      <c r="C45" t="s">
        <v>17</v>
      </c>
      <c r="D45" t="s">
        <v>11</v>
      </c>
      <c r="E45" s="1" t="s">
        <v>22</v>
      </c>
      <c r="F45" s="2">
        <v>2740377</v>
      </c>
      <c r="G45" s="3">
        <f>Table6[[#This Row],[ '# units Projected With Program]]-Table6[[#This Row],['# Projected units Incented by Program]]</f>
        <v>261</v>
      </c>
      <c r="H45" s="3">
        <f>Table6[[#This Row],[ '# units Projected With Program (as of March 31 2025)]]-Table6[[#This Row],[Increase in projected units ]]</f>
        <v>359</v>
      </c>
      <c r="I45" s="3">
        <v>98</v>
      </c>
      <c r="J45" s="3">
        <v>359</v>
      </c>
      <c r="K45" s="3">
        <f>Table6[[#This Row],[ '# units Projected With Program (as of March 31 2025)]]-Table6[[#This Row],['# units Projected Without Program]]</f>
        <v>98</v>
      </c>
      <c r="L45" s="3"/>
      <c r="M45" s="3">
        <v>2740376.6</v>
      </c>
      <c r="O45"/>
    </row>
    <row r="46" spans="1:15" x14ac:dyDescent="0.35">
      <c r="A46" t="s">
        <v>78</v>
      </c>
      <c r="B46" t="s">
        <v>32</v>
      </c>
      <c r="C46" t="s">
        <v>17</v>
      </c>
      <c r="D46" t="s">
        <v>11</v>
      </c>
      <c r="E46" s="1" t="s">
        <v>25</v>
      </c>
      <c r="F46" s="2">
        <v>613445</v>
      </c>
      <c r="G46" s="3">
        <f>Table6[[#This Row],[ '# units Projected With Program]]-Table6[[#This Row],['# Projected units Incented by Program]]</f>
        <v>31</v>
      </c>
      <c r="H46" s="3">
        <f>Table6[[#This Row],[ '# units Projected With Program (as of March 31 2025)]]-Table6[[#This Row],[Increase in projected units ]]</f>
        <v>47</v>
      </c>
      <c r="I46" s="3">
        <v>16</v>
      </c>
      <c r="J46" s="3">
        <v>47</v>
      </c>
      <c r="K46" s="3">
        <f>Table6[[#This Row],[ '# units Projected With Program (as of March 31 2025)]]-Table6[[#This Row],['# units Projected Without Program]]</f>
        <v>16</v>
      </c>
      <c r="L46" s="3"/>
      <c r="M46" s="3">
        <v>613444.80000000005</v>
      </c>
      <c r="O46"/>
    </row>
    <row r="47" spans="1:15" x14ac:dyDescent="0.35">
      <c r="A47" t="s">
        <v>79</v>
      </c>
      <c r="B47" t="s">
        <v>32</v>
      </c>
      <c r="C47" t="s">
        <v>17</v>
      </c>
      <c r="D47" t="s">
        <v>18</v>
      </c>
      <c r="E47" s="1" t="s">
        <v>35</v>
      </c>
      <c r="F47" s="2">
        <v>208000</v>
      </c>
      <c r="G47" s="3">
        <f>Table6[[#This Row],[ '# units Projected With Program]]-Table6[[#This Row],['# Projected units Incented by Program]]</f>
        <v>4</v>
      </c>
      <c r="H47" s="3">
        <f>Table6[[#This Row],[ '# units Projected With Program (as of March 31 2025)]]-Table6[[#This Row],[Increase in projected units ]]</f>
        <v>8</v>
      </c>
      <c r="I47" s="3">
        <v>4</v>
      </c>
      <c r="J47" s="3">
        <v>8</v>
      </c>
      <c r="K47" s="3">
        <f>Table6[[#This Row],[ '# units Projected With Program (as of March 31 2025)]]-Table6[[#This Row],['# units Projected Without Program]]</f>
        <v>4</v>
      </c>
      <c r="L47" s="3"/>
      <c r="M47" s="3">
        <v>208000</v>
      </c>
      <c r="O47"/>
    </row>
    <row r="48" spans="1:15" x14ac:dyDescent="0.35">
      <c r="A48" t="s">
        <v>80</v>
      </c>
      <c r="B48" t="s">
        <v>81</v>
      </c>
      <c r="C48" t="s">
        <v>10</v>
      </c>
      <c r="D48" t="s">
        <v>11</v>
      </c>
      <c r="E48" s="1" t="s">
        <v>48</v>
      </c>
      <c r="F48" s="2">
        <v>6248360</v>
      </c>
      <c r="G48" s="3">
        <f>Table6[[#This Row],[ '# units Projected With Program]]-Table6[[#This Row],['# Projected units Incented by Program]]</f>
        <v>783</v>
      </c>
      <c r="H48" s="3">
        <f>Table6[[#This Row],[ '# units Projected With Program (as of March 31 2025)]]-Table6[[#This Row],[Increase in projected units ]]</f>
        <v>951</v>
      </c>
      <c r="I48" s="3">
        <v>168</v>
      </c>
      <c r="J48" s="3">
        <v>951</v>
      </c>
      <c r="K48" s="3">
        <f>Table6[[#This Row],[ '# units Projected With Program (as of March 31 2025)]]-Table6[[#This Row],['# units Projected Without Program]]</f>
        <v>168</v>
      </c>
      <c r="L48" s="3"/>
      <c r="M48" s="3">
        <v>6248360.4000000004</v>
      </c>
      <c r="O48"/>
    </row>
    <row r="49" spans="1:15" x14ac:dyDescent="0.35">
      <c r="A49" t="s">
        <v>82</v>
      </c>
      <c r="B49" t="s">
        <v>81</v>
      </c>
      <c r="C49" t="s">
        <v>17</v>
      </c>
      <c r="D49" t="s">
        <v>11</v>
      </c>
      <c r="E49" s="1" t="s">
        <v>48</v>
      </c>
      <c r="F49" s="2">
        <v>1925676</v>
      </c>
      <c r="G49" s="3">
        <f>Table6[[#This Row],[ '# units Projected With Program]]-Table6[[#This Row],['# Projected units Incented by Program]]</f>
        <v>24</v>
      </c>
      <c r="H49" s="3">
        <f>Table6[[#This Row],[ '# units Projected With Program (as of March 31 2025)]]-Table6[[#This Row],[Increase in projected units ]]</f>
        <v>73</v>
      </c>
      <c r="I49" s="3">
        <v>49</v>
      </c>
      <c r="J49" s="3">
        <v>73</v>
      </c>
      <c r="K49" s="3">
        <f>Table6[[#This Row],[ '# units Projected With Program (as of March 31 2025)]]-Table6[[#This Row],['# units Projected Without Program]]</f>
        <v>49</v>
      </c>
      <c r="L49" s="3"/>
      <c r="M49" s="3">
        <v>1925676</v>
      </c>
      <c r="O49"/>
    </row>
    <row r="50" spans="1:15" x14ac:dyDescent="0.35">
      <c r="A50" t="s">
        <v>83</v>
      </c>
      <c r="B50" t="s">
        <v>81</v>
      </c>
      <c r="C50" t="s">
        <v>17</v>
      </c>
      <c r="D50" t="s">
        <v>18</v>
      </c>
      <c r="E50" s="1" t="s">
        <v>84</v>
      </c>
      <c r="F50" s="2">
        <v>5315182</v>
      </c>
      <c r="G50" s="3">
        <f>Table6[[#This Row],[ '# units Projected With Program]]-Table6[[#This Row],['# Projected units Incented by Program]]</f>
        <v>144</v>
      </c>
      <c r="H50" s="3">
        <f>Table6[[#This Row],[ '# units Projected With Program (as of March 31 2025)]]-Table6[[#This Row],[Increase in projected units ]]</f>
        <v>232</v>
      </c>
      <c r="I50" s="3">
        <v>88</v>
      </c>
      <c r="J50" s="3">
        <v>232</v>
      </c>
      <c r="K50" s="3">
        <f>Table6[[#This Row],[ '# units Projected With Program (as of March 31 2025)]]-Table6[[#This Row],['# units Projected Without Program]]</f>
        <v>88</v>
      </c>
      <c r="L50" s="3"/>
      <c r="M50" s="3">
        <v>5315182.4000000004</v>
      </c>
      <c r="O50"/>
    </row>
    <row r="51" spans="1:15" x14ac:dyDescent="0.35">
      <c r="A51" t="s">
        <v>85</v>
      </c>
      <c r="B51" t="s">
        <v>81</v>
      </c>
      <c r="C51" t="s">
        <v>17</v>
      </c>
      <c r="D51" t="s">
        <v>11</v>
      </c>
      <c r="E51" s="1" t="s">
        <v>46</v>
      </c>
      <c r="F51" s="2">
        <v>664200</v>
      </c>
      <c r="G51" s="3">
        <f>Table6[[#This Row],[ '# units Projected With Program]]-Table6[[#This Row],['# Projected units Incented by Program]]</f>
        <v>170</v>
      </c>
      <c r="H51" s="3">
        <f>Table6[[#This Row],[ '# units Projected With Program (as of March 31 2025)]]-Table6[[#This Row],[Increase in projected units ]]</f>
        <v>190</v>
      </c>
      <c r="I51" s="3">
        <v>20</v>
      </c>
      <c r="J51" s="3">
        <v>192</v>
      </c>
      <c r="K51" s="3">
        <f>Table6[[#This Row],[ '# units Projected With Program (as of March 31 2025)]]-Table6[[#This Row],['# units Projected Without Program]]</f>
        <v>22</v>
      </c>
      <c r="L51" s="3">
        <v>2</v>
      </c>
      <c r="M51" s="3">
        <v>728200</v>
      </c>
      <c r="O51"/>
    </row>
    <row r="52" spans="1:15" x14ac:dyDescent="0.35">
      <c r="A52" t="s">
        <v>86</v>
      </c>
      <c r="B52" t="s">
        <v>81</v>
      </c>
      <c r="C52" t="s">
        <v>17</v>
      </c>
      <c r="D52" t="s">
        <v>18</v>
      </c>
      <c r="E52" s="1" t="s">
        <v>46</v>
      </c>
      <c r="F52" s="2">
        <v>1552000</v>
      </c>
      <c r="G52" s="3">
        <f>Table6[[#This Row],[ '# units Projected With Program]]-Table6[[#This Row],['# Projected units Incented by Program]]</f>
        <v>9</v>
      </c>
      <c r="H52" s="3">
        <f>Table6[[#This Row],[ '# units Projected With Program (as of March 31 2025)]]-Table6[[#This Row],[Increase in projected units ]]</f>
        <v>34</v>
      </c>
      <c r="I52" s="3">
        <v>25</v>
      </c>
      <c r="J52" s="3">
        <v>34</v>
      </c>
      <c r="K52" s="3">
        <f>Table6[[#This Row],[ '# units Projected With Program (as of March 31 2025)]]-Table6[[#This Row],['# units Projected Without Program]]</f>
        <v>25</v>
      </c>
      <c r="L52" s="3"/>
      <c r="M52" s="3">
        <v>1552000</v>
      </c>
      <c r="O52"/>
    </row>
    <row r="53" spans="1:15" x14ac:dyDescent="0.35">
      <c r="A53" t="s">
        <v>87</v>
      </c>
      <c r="B53" t="s">
        <v>81</v>
      </c>
      <c r="C53" t="s">
        <v>10</v>
      </c>
      <c r="D53" t="s">
        <v>11</v>
      </c>
      <c r="E53" s="1">
        <v>45058</v>
      </c>
      <c r="F53" s="2">
        <v>122429654</v>
      </c>
      <c r="G53" s="3">
        <f>Table6[[#This Row],[ '# units Projected With Program]]-Table6[[#This Row],['# Projected units Incented by Program]]</f>
        <v>10935</v>
      </c>
      <c r="H53" s="3">
        <f>Table6[[#This Row],[ '# units Projected With Program (as of March 31 2025)]]-Table6[[#This Row],[Increase in projected units ]]</f>
        <v>14101</v>
      </c>
      <c r="I53" s="3">
        <v>3166</v>
      </c>
      <c r="J53" s="3">
        <v>14101</v>
      </c>
      <c r="K53" s="3">
        <f>Table6[[#This Row],[ '# units Projected With Program (as of March 31 2025)]]-Table6[[#This Row],['# units Projected Without Program]]</f>
        <v>3166</v>
      </c>
      <c r="L53" s="3"/>
      <c r="M53" s="3">
        <v>122429654</v>
      </c>
      <c r="O53"/>
    </row>
    <row r="54" spans="1:15" x14ac:dyDescent="0.35">
      <c r="A54" t="s">
        <v>88</v>
      </c>
      <c r="B54" t="s">
        <v>89</v>
      </c>
      <c r="C54" t="s">
        <v>17</v>
      </c>
      <c r="D54" t="s">
        <v>18</v>
      </c>
      <c r="E54" s="1">
        <v>45293</v>
      </c>
      <c r="F54" s="2">
        <v>767000</v>
      </c>
      <c r="G54" s="3">
        <f>Table6[[#This Row],[ '# units Projected With Program]]-Table6[[#This Row],['# Projected units Incented by Program]]</f>
        <v>18</v>
      </c>
      <c r="H54" s="3">
        <f>Table6[[#This Row],[ '# units Projected With Program (as of March 31 2025)]]-Table6[[#This Row],[Increase in projected units ]]</f>
        <v>31</v>
      </c>
      <c r="I54" s="3">
        <v>13</v>
      </c>
      <c r="J54" s="3">
        <v>32</v>
      </c>
      <c r="K54" s="3">
        <f>Table6[[#This Row],[ '# units Projected With Program (as of March 31 2025)]]-Table6[[#This Row],['# units Projected Without Program]]</f>
        <v>14</v>
      </c>
      <c r="L54" s="3">
        <v>1</v>
      </c>
      <c r="M54" s="3">
        <v>838000</v>
      </c>
      <c r="O54"/>
    </row>
    <row r="55" spans="1:15" x14ac:dyDescent="0.35">
      <c r="A55" t="s">
        <v>90</v>
      </c>
      <c r="B55" t="s">
        <v>89</v>
      </c>
      <c r="C55" t="s">
        <v>10</v>
      </c>
      <c r="D55" t="s">
        <v>11</v>
      </c>
      <c r="E55" s="1" t="s">
        <v>46</v>
      </c>
      <c r="F55" s="2">
        <v>4533972</v>
      </c>
      <c r="G55" s="3">
        <f>Table6[[#This Row],[ '# units Projected With Program]]-Table6[[#This Row],['# Projected units Incented by Program]]</f>
        <v>64</v>
      </c>
      <c r="H55" s="3">
        <f>Table6[[#This Row],[ '# units Projected With Program (as of March 31 2025)]]-Table6[[#This Row],[Increase in projected units ]]</f>
        <v>195</v>
      </c>
      <c r="I55" s="3">
        <v>131</v>
      </c>
      <c r="J55" s="3">
        <v>195</v>
      </c>
      <c r="K55" s="3">
        <f>Table6[[#This Row],[ '# units Projected With Program (as of March 31 2025)]]-Table6[[#This Row],['# units Projected Without Program]]</f>
        <v>131</v>
      </c>
      <c r="L55" s="3"/>
      <c r="M55" s="3">
        <v>4533971.5</v>
      </c>
      <c r="O55"/>
    </row>
    <row r="56" spans="1:15" x14ac:dyDescent="0.35">
      <c r="A56" t="s">
        <v>91</v>
      </c>
      <c r="B56" t="s">
        <v>89</v>
      </c>
      <c r="C56" t="s">
        <v>17</v>
      </c>
      <c r="D56" t="s">
        <v>11</v>
      </c>
      <c r="E56" s="1" t="s">
        <v>30</v>
      </c>
      <c r="F56" s="2">
        <v>2006357</v>
      </c>
      <c r="G56" s="3">
        <f>Table6[[#This Row],[ '# units Projected With Program]]-Table6[[#This Row],['# Projected units Incented by Program]]</f>
        <v>335</v>
      </c>
      <c r="H56" s="3">
        <f>Table6[[#This Row],[ '# units Projected With Program (as of March 31 2025)]]-Table6[[#This Row],[Increase in projected units ]]</f>
        <v>388</v>
      </c>
      <c r="I56" s="3">
        <v>53</v>
      </c>
      <c r="J56" s="3">
        <v>388</v>
      </c>
      <c r="K56" s="3">
        <f>Table6[[#This Row],[ '# units Projected With Program (as of March 31 2025)]]-Table6[[#This Row],['# units Projected Without Program]]</f>
        <v>53</v>
      </c>
      <c r="L56" s="3"/>
      <c r="M56" s="3">
        <v>2006357.2</v>
      </c>
      <c r="O56"/>
    </row>
    <row r="57" spans="1:15" x14ac:dyDescent="0.35">
      <c r="A57" t="s">
        <v>92</v>
      </c>
      <c r="B57" t="s">
        <v>89</v>
      </c>
      <c r="C57" t="s">
        <v>17</v>
      </c>
      <c r="D57" t="s">
        <v>11</v>
      </c>
      <c r="E57" s="1" t="s">
        <v>46</v>
      </c>
      <c r="F57" s="2">
        <v>2695197</v>
      </c>
      <c r="G57" s="3">
        <f>Table6[[#This Row],[ '# units Projected With Program]]-Table6[[#This Row],['# Projected units Incented by Program]]</f>
        <v>57</v>
      </c>
      <c r="H57" s="3">
        <f>Table6[[#This Row],[ '# units Projected With Program (as of March 31 2025)]]-Table6[[#This Row],[Increase in projected units ]]</f>
        <v>137</v>
      </c>
      <c r="I57" s="3">
        <v>80</v>
      </c>
      <c r="J57" s="3">
        <v>144</v>
      </c>
      <c r="K57" s="3">
        <f>Table6[[#This Row],[ '# units Projected With Program (as of March 31 2025)]]-Table6[[#This Row],['# units Projected Without Program]]</f>
        <v>87</v>
      </c>
      <c r="L57" s="3">
        <v>7</v>
      </c>
      <c r="M57" s="3">
        <v>2964197.1</v>
      </c>
      <c r="O57"/>
    </row>
    <row r="58" spans="1:15" x14ac:dyDescent="0.35">
      <c r="A58" t="s">
        <v>93</v>
      </c>
      <c r="B58" t="s">
        <v>89</v>
      </c>
      <c r="C58" t="s">
        <v>17</v>
      </c>
      <c r="D58" t="s">
        <v>11</v>
      </c>
      <c r="E58" s="1" t="s">
        <v>46</v>
      </c>
      <c r="F58" s="2">
        <v>3849716</v>
      </c>
      <c r="G58" s="3">
        <f>Table6[[#This Row],[ '# units Projected With Program]]-Table6[[#This Row],['# Projected units Incented by Program]]</f>
        <v>121</v>
      </c>
      <c r="H58" s="3">
        <f>Table6[[#This Row],[ '# units Projected With Program (as of March 31 2025)]]-Table6[[#This Row],[Increase in projected units ]]</f>
        <v>227</v>
      </c>
      <c r="I58" s="3">
        <v>106</v>
      </c>
      <c r="J58" s="3">
        <v>227</v>
      </c>
      <c r="K58" s="3">
        <f>Table6[[#This Row],[ '# units Projected With Program (as of March 31 2025)]]-Table6[[#This Row],['# units Projected Without Program]]</f>
        <v>106</v>
      </c>
      <c r="L58" s="3"/>
      <c r="M58" s="3">
        <v>3849716.4</v>
      </c>
      <c r="O58"/>
    </row>
    <row r="59" spans="1:15" x14ac:dyDescent="0.35">
      <c r="A59" t="s">
        <v>94</v>
      </c>
      <c r="B59" t="s">
        <v>89</v>
      </c>
      <c r="C59" t="s">
        <v>10</v>
      </c>
      <c r="D59" t="s">
        <v>11</v>
      </c>
      <c r="E59" s="1" t="s">
        <v>46</v>
      </c>
      <c r="F59" s="2">
        <v>3012000</v>
      </c>
      <c r="G59" s="3">
        <f>Table6[[#This Row],[ '# units Projected With Program]]-Table6[[#This Row],['# Projected units Incented by Program]]</f>
        <v>64</v>
      </c>
      <c r="H59" s="3">
        <f>Table6[[#This Row],[ '# units Projected With Program (as of March 31 2025)]]-Table6[[#This Row],[Increase in projected units ]]</f>
        <v>160</v>
      </c>
      <c r="I59" s="3">
        <v>96</v>
      </c>
      <c r="J59" s="3">
        <v>170</v>
      </c>
      <c r="K59" s="3">
        <f>Table6[[#This Row],[ '# units Projected With Program (as of March 31 2025)]]-Table6[[#This Row],['# units Projected Without Program]]</f>
        <v>106</v>
      </c>
      <c r="L59" s="3">
        <v>10</v>
      </c>
      <c r="M59" s="3">
        <v>3332000</v>
      </c>
      <c r="O59"/>
    </row>
    <row r="60" spans="1:15" x14ac:dyDescent="0.35">
      <c r="A60" t="s">
        <v>95</v>
      </c>
      <c r="B60" t="s">
        <v>89</v>
      </c>
      <c r="C60" t="s">
        <v>10</v>
      </c>
      <c r="D60" t="s">
        <v>11</v>
      </c>
      <c r="E60" s="1">
        <v>45272</v>
      </c>
      <c r="F60" s="2">
        <v>10274119</v>
      </c>
      <c r="G60" s="3">
        <f>Table6[[#This Row],[ '# units Projected With Program]]-Table6[[#This Row],['# Projected units Incented by Program]]</f>
        <v>2124</v>
      </c>
      <c r="H60" s="3">
        <f>Table6[[#This Row],[ '# units Projected With Program (as of March 31 2025)]]-Table6[[#This Row],[Increase in projected units ]]</f>
        <v>2411</v>
      </c>
      <c r="I60" s="3">
        <v>287</v>
      </c>
      <c r="J60" s="3">
        <v>2411</v>
      </c>
      <c r="K60" s="3">
        <f>Table6[[#This Row],[ '# units Projected With Program (as of March 31 2025)]]-Table6[[#This Row],['# units Projected Without Program]]</f>
        <v>287</v>
      </c>
      <c r="L60" s="3"/>
      <c r="M60" s="3">
        <v>10274118.5</v>
      </c>
      <c r="O60"/>
    </row>
    <row r="61" spans="1:15" x14ac:dyDescent="0.35">
      <c r="A61" t="s">
        <v>96</v>
      </c>
      <c r="B61" t="s">
        <v>89</v>
      </c>
      <c r="C61" t="s">
        <v>10</v>
      </c>
      <c r="D61" t="s">
        <v>11</v>
      </c>
      <c r="E61" s="1">
        <v>45323</v>
      </c>
      <c r="F61" s="2">
        <v>9182647</v>
      </c>
      <c r="G61" s="3">
        <f>Table6[[#This Row],[ '# units Projected With Program]]-Table6[[#This Row],['# Projected units Incented by Program]]</f>
        <v>839</v>
      </c>
      <c r="H61" s="3">
        <f>Table6[[#This Row],[ '# units Projected With Program (as of March 31 2025)]]-Table6[[#This Row],[Increase in projected units ]]</f>
        <v>1124</v>
      </c>
      <c r="I61" s="3">
        <v>285</v>
      </c>
      <c r="J61" s="3">
        <v>1158</v>
      </c>
      <c r="K61" s="3">
        <f>Table6[[#This Row],[ '# units Projected With Program (as of March 31 2025)]]-Table6[[#This Row],['# units Projected Without Program]]</f>
        <v>319</v>
      </c>
      <c r="L61" s="3">
        <v>34</v>
      </c>
      <c r="M61" s="3">
        <v>10100646.800000001</v>
      </c>
      <c r="O61"/>
    </row>
    <row r="62" spans="1:15" x14ac:dyDescent="0.35">
      <c r="A62" t="s">
        <v>97</v>
      </c>
      <c r="B62" t="s">
        <v>89</v>
      </c>
      <c r="C62" t="s">
        <v>17</v>
      </c>
      <c r="D62" t="s">
        <v>11</v>
      </c>
      <c r="E62" s="1" t="s">
        <v>69</v>
      </c>
      <c r="F62" s="2">
        <v>2886076</v>
      </c>
      <c r="G62" s="3">
        <f>Table6[[#This Row],[ '# units Projected With Program]]-Table6[[#This Row],['# Projected units Incented by Program]]</f>
        <v>90</v>
      </c>
      <c r="H62" s="3">
        <f>Table6[[#This Row],[ '# units Projected With Program (as of March 31 2025)]]-Table6[[#This Row],[Increase in projected units ]]</f>
        <v>172</v>
      </c>
      <c r="I62" s="3">
        <v>82</v>
      </c>
      <c r="J62" s="3">
        <v>182</v>
      </c>
      <c r="K62" s="3">
        <f>Table6[[#This Row],[ '# units Projected With Program (as of March 31 2025)]]-Table6[[#This Row],['# units Projected Without Program]]</f>
        <v>92</v>
      </c>
      <c r="L62" s="3">
        <v>10</v>
      </c>
      <c r="M62" s="3">
        <v>3170076</v>
      </c>
      <c r="O62"/>
    </row>
    <row r="63" spans="1:15" x14ac:dyDescent="0.35">
      <c r="A63" t="s">
        <v>98</v>
      </c>
      <c r="B63" t="s">
        <v>89</v>
      </c>
      <c r="C63" t="s">
        <v>17</v>
      </c>
      <c r="D63" t="s">
        <v>11</v>
      </c>
      <c r="E63" s="1">
        <v>45324</v>
      </c>
      <c r="F63" s="2">
        <v>840000</v>
      </c>
      <c r="G63" s="3">
        <f>Table6[[#This Row],[ '# units Projected With Program]]-Table6[[#This Row],['# Projected units Incented by Program]]</f>
        <v>143</v>
      </c>
      <c r="H63" s="3">
        <f>Table6[[#This Row],[ '# units Projected With Program (as of March 31 2025)]]-Table6[[#This Row],[Increase in projected units ]]</f>
        <v>176</v>
      </c>
      <c r="I63" s="3">
        <v>33</v>
      </c>
      <c r="J63" s="3">
        <v>176</v>
      </c>
      <c r="K63" s="3">
        <f>Table6[[#This Row],[ '# units Projected With Program (as of March 31 2025)]]-Table6[[#This Row],['# units Projected Without Program]]</f>
        <v>33</v>
      </c>
      <c r="L63" s="3"/>
      <c r="M63" s="3">
        <v>840000</v>
      </c>
      <c r="O63"/>
    </row>
    <row r="64" spans="1:15" x14ac:dyDescent="0.35">
      <c r="A64" t="s">
        <v>99</v>
      </c>
      <c r="B64" t="s">
        <v>89</v>
      </c>
      <c r="C64" t="s">
        <v>17</v>
      </c>
      <c r="D64" t="s">
        <v>100</v>
      </c>
      <c r="E64" s="1" t="s">
        <v>48</v>
      </c>
      <c r="F64" s="2">
        <v>400000</v>
      </c>
      <c r="G64" s="3">
        <f>Table6[[#This Row],[ '# units Projected With Program]]-Table6[[#This Row],['# Projected units Incented by Program]]</f>
        <v>3</v>
      </c>
      <c r="H64" s="3">
        <f>Table6[[#This Row],[ '# units Projected With Program (as of March 31 2025)]]-Table6[[#This Row],[Increase in projected units ]]</f>
        <v>13</v>
      </c>
      <c r="I64" s="3">
        <v>10</v>
      </c>
      <c r="J64" s="3">
        <v>13</v>
      </c>
      <c r="K64" s="3">
        <f>Table6[[#This Row],[ '# units Projected With Program (as of March 31 2025)]]-Table6[[#This Row],['# units Projected Without Program]]</f>
        <v>10</v>
      </c>
      <c r="L64" s="3"/>
      <c r="M64" s="3">
        <v>400000</v>
      </c>
      <c r="O64"/>
    </row>
    <row r="65" spans="1:15" x14ac:dyDescent="0.35">
      <c r="A65" s="6" t="s">
        <v>101</v>
      </c>
      <c r="B65" t="s">
        <v>89</v>
      </c>
      <c r="C65" t="s">
        <v>10</v>
      </c>
      <c r="D65" t="s">
        <v>11</v>
      </c>
      <c r="E65" s="1" t="s">
        <v>102</v>
      </c>
      <c r="F65" s="2">
        <v>15597510</v>
      </c>
      <c r="G65" s="3">
        <f>Table6[[#This Row],[ '# units Projected With Program]]-Table6[[#This Row],['# Projected units Incented by Program]]</f>
        <v>2038</v>
      </c>
      <c r="H65" s="3">
        <f>Table6[[#This Row],[ '# units Projected With Program (as of March 31 2025)]]-Table6[[#This Row],[Increase in projected units ]]</f>
        <v>2529</v>
      </c>
      <c r="I65" s="3">
        <v>491</v>
      </c>
      <c r="J65" s="3">
        <f xml:space="preserve"> 2569</f>
        <v>2569</v>
      </c>
      <c r="K65" s="3">
        <f>Table6[[#This Row],[ '# units Projected With Program (as of March 31 2025)]]-Table6[[#This Row],['# units Projected Without Program]]</f>
        <v>531</v>
      </c>
      <c r="L65" s="3">
        <v>40</v>
      </c>
      <c r="M65" s="3">
        <v>16877510</v>
      </c>
      <c r="O65"/>
    </row>
    <row r="66" spans="1:15" x14ac:dyDescent="0.35">
      <c r="A66" t="s">
        <v>103</v>
      </c>
      <c r="B66" t="s">
        <v>89</v>
      </c>
      <c r="C66" t="s">
        <v>17</v>
      </c>
      <c r="D66" t="s">
        <v>11</v>
      </c>
      <c r="E66" s="1" t="s">
        <v>27</v>
      </c>
      <c r="F66" s="2">
        <v>2330500</v>
      </c>
      <c r="G66" s="3">
        <f>Table6[[#This Row],[ '# units Projected With Program]]-Table6[[#This Row],['# Projected units Incented by Program]]</f>
        <v>60</v>
      </c>
      <c r="H66" s="3">
        <f>Table6[[#This Row],[ '# units Projected With Program (as of March 31 2025)]]-Table6[[#This Row],[Increase in projected units ]]</f>
        <v>125</v>
      </c>
      <c r="I66" s="3">
        <v>65</v>
      </c>
      <c r="J66" s="3">
        <v>125</v>
      </c>
      <c r="K66" s="3">
        <f>Table6[[#This Row],[ '# units Projected With Program (as of March 31 2025)]]-Table6[[#This Row],['# units Projected Without Program]]</f>
        <v>65</v>
      </c>
      <c r="L66" s="3"/>
      <c r="M66" s="3">
        <v>2330500</v>
      </c>
      <c r="O66"/>
    </row>
    <row r="67" spans="1:15" x14ac:dyDescent="0.35">
      <c r="A67" t="s">
        <v>104</v>
      </c>
      <c r="B67" t="s">
        <v>89</v>
      </c>
      <c r="C67" t="s">
        <v>17</v>
      </c>
      <c r="D67" t="s">
        <v>18</v>
      </c>
      <c r="E67" s="1">
        <v>45536</v>
      </c>
      <c r="F67" s="2">
        <v>1063000</v>
      </c>
      <c r="G67" s="3">
        <f>Table6[[#This Row],[ '# units Projected With Program]]-Table6[[#This Row],['# Projected units Incented by Program]]</f>
        <v>30</v>
      </c>
      <c r="H67" s="3">
        <f>Table6[[#This Row],[ '# units Projected With Program (as of March 31 2025)]]-Table6[[#This Row],[Increase in projected units ]]</f>
        <v>47</v>
      </c>
      <c r="I67" s="3">
        <v>17</v>
      </c>
      <c r="J67" s="3">
        <v>49</v>
      </c>
      <c r="K67" s="3">
        <f>Table6[[#This Row],[ '# units Projected With Program (as of March 31 2025)]]-Table6[[#This Row],['# units Projected Without Program]]</f>
        <v>19</v>
      </c>
      <c r="L67" s="3">
        <v>2</v>
      </c>
      <c r="M67" s="3">
        <v>1205000</v>
      </c>
      <c r="O67"/>
    </row>
    <row r="68" spans="1:15" x14ac:dyDescent="0.35">
      <c r="A68" t="s">
        <v>105</v>
      </c>
      <c r="B68" t="s">
        <v>89</v>
      </c>
      <c r="C68" t="s">
        <v>17</v>
      </c>
      <c r="D68" t="s">
        <v>11</v>
      </c>
      <c r="E68" s="1" t="s">
        <v>106</v>
      </c>
      <c r="F68" s="2">
        <v>1051143</v>
      </c>
      <c r="G68" s="3">
        <f>Table6[[#This Row],[ '# units Projected With Program]]-Table6[[#This Row],['# Projected units Incented by Program]]</f>
        <v>93</v>
      </c>
      <c r="H68" s="3">
        <f>Table6[[#This Row],[ '# units Projected With Program (as of March 31 2025)]]-Table6[[#This Row],[Increase in projected units ]]</f>
        <v>123</v>
      </c>
      <c r="I68" s="3">
        <v>30</v>
      </c>
      <c r="J68" s="3">
        <v>123</v>
      </c>
      <c r="K68" s="3">
        <f>Table6[[#This Row],[ '# units Projected With Program (as of March 31 2025)]]-Table6[[#This Row],['# units Projected Without Program]]</f>
        <v>30</v>
      </c>
      <c r="L68" s="3"/>
      <c r="M68" s="3">
        <v>1051143</v>
      </c>
      <c r="O68"/>
    </row>
    <row r="69" spans="1:15" x14ac:dyDescent="0.35">
      <c r="A69" t="s">
        <v>107</v>
      </c>
      <c r="B69" t="s">
        <v>89</v>
      </c>
      <c r="C69" t="s">
        <v>10</v>
      </c>
      <c r="D69" t="s">
        <v>11</v>
      </c>
      <c r="E69" s="1" t="s">
        <v>108</v>
      </c>
      <c r="F69" s="2">
        <v>4954750</v>
      </c>
      <c r="G69" s="3">
        <f>Table6[[#This Row],[ '# units Projected With Program]]-Table6[[#This Row],['# Projected units Incented by Program]]</f>
        <v>648</v>
      </c>
      <c r="H69" s="3">
        <f>Table6[[#This Row],[ '# units Projected With Program (as of March 31 2025)]]-Table6[[#This Row],[Increase in projected units ]]</f>
        <v>785</v>
      </c>
      <c r="I69" s="3">
        <v>137</v>
      </c>
      <c r="J69" s="3">
        <v>785</v>
      </c>
      <c r="K69" s="3">
        <f>Table6[[#This Row],[ '# units Projected With Program (as of March 31 2025)]]-Table6[[#This Row],['# units Projected Without Program]]</f>
        <v>137</v>
      </c>
      <c r="L69" s="3"/>
      <c r="M69" s="3">
        <v>4954750</v>
      </c>
      <c r="O69"/>
    </row>
    <row r="70" spans="1:15" x14ac:dyDescent="0.35">
      <c r="A70" t="s">
        <v>109</v>
      </c>
      <c r="B70" t="s">
        <v>89</v>
      </c>
      <c r="C70" t="s">
        <v>17</v>
      </c>
      <c r="D70" t="s">
        <v>11</v>
      </c>
      <c r="E70" s="1" t="s">
        <v>46</v>
      </c>
      <c r="F70" s="2">
        <v>3215171</v>
      </c>
      <c r="G70" s="3">
        <f>Table6[[#This Row],[ '# units Projected With Program]]-Table6[[#This Row],['# Projected units Incented by Program]]</f>
        <v>186</v>
      </c>
      <c r="H70" s="3">
        <f>Table6[[#This Row],[ '# units Projected With Program (as of March 31 2025)]]-Table6[[#This Row],[Increase in projected units ]]</f>
        <v>290</v>
      </c>
      <c r="I70" s="3">
        <v>104</v>
      </c>
      <c r="J70" s="3">
        <v>290</v>
      </c>
      <c r="K70" s="3">
        <f>Table6[[#This Row],[ '# units Projected With Program (as of March 31 2025)]]-Table6[[#This Row],['# units Projected Without Program]]</f>
        <v>104</v>
      </c>
      <c r="L70" s="3"/>
      <c r="M70" s="3">
        <v>3215171</v>
      </c>
      <c r="O70"/>
    </row>
    <row r="71" spans="1:15" x14ac:dyDescent="0.35">
      <c r="A71" t="s">
        <v>110</v>
      </c>
      <c r="B71" t="s">
        <v>89</v>
      </c>
      <c r="C71" t="s">
        <v>10</v>
      </c>
      <c r="D71" t="s">
        <v>11</v>
      </c>
      <c r="E71" s="1">
        <v>45537</v>
      </c>
      <c r="F71" s="2">
        <v>2475512</v>
      </c>
      <c r="G71" s="3">
        <f>Table6[[#This Row],[ '# units Projected With Program]]-Table6[[#This Row],['# Projected units Incented by Program]]</f>
        <v>242</v>
      </c>
      <c r="H71" s="3">
        <f>Table6[[#This Row],[ '# units Projected With Program (as of March 31 2025)]]-Table6[[#This Row],[Increase in projected units ]]</f>
        <v>302</v>
      </c>
      <c r="I71" s="3">
        <v>60</v>
      </c>
      <c r="J71" s="3">
        <v>302</v>
      </c>
      <c r="K71" s="3">
        <f>Table6[[#This Row],[ '# units Projected With Program (as of March 31 2025)]]-Table6[[#This Row],['# units Projected Without Program]]</f>
        <v>60</v>
      </c>
      <c r="L71" s="3"/>
      <c r="M71" s="3">
        <v>2166072.65</v>
      </c>
      <c r="O71"/>
    </row>
    <row r="72" spans="1:15" x14ac:dyDescent="0.35">
      <c r="A72" t="s">
        <v>244</v>
      </c>
      <c r="B72" t="s">
        <v>89</v>
      </c>
      <c r="C72" t="s">
        <v>10</v>
      </c>
      <c r="D72" t="s">
        <v>11</v>
      </c>
      <c r="E72" s="1" t="s">
        <v>46</v>
      </c>
      <c r="F72" s="2">
        <v>4065010</v>
      </c>
      <c r="G72" s="3">
        <f>Table6[[#This Row],[ '# units Projected With Program]]-Table6[[#This Row],['# Projected units Incented by Program]]</f>
        <v>88</v>
      </c>
      <c r="H72" s="3">
        <f>Table6[[#This Row],[ '# units Projected With Program (as of March 31 2025)]]-Table6[[#This Row],[Increase in projected units ]]</f>
        <v>220</v>
      </c>
      <c r="I72" s="3">
        <v>132</v>
      </c>
      <c r="J72" s="3">
        <v>230</v>
      </c>
      <c r="K72" s="3">
        <f>Table6[[#This Row],[ '# units Projected With Program (as of March 31 2025)]]-Table6[[#This Row],['# units Projected Without Program]]</f>
        <v>142</v>
      </c>
      <c r="L72" s="3">
        <v>10</v>
      </c>
      <c r="M72" s="3">
        <v>4480010</v>
      </c>
      <c r="O72"/>
    </row>
    <row r="73" spans="1:15" x14ac:dyDescent="0.35">
      <c r="A73" t="s">
        <v>111</v>
      </c>
      <c r="B73" t="s">
        <v>112</v>
      </c>
      <c r="C73" t="s">
        <v>10</v>
      </c>
      <c r="D73" t="s">
        <v>11</v>
      </c>
      <c r="E73" s="1">
        <v>45628</v>
      </c>
      <c r="F73" s="2">
        <v>6142076</v>
      </c>
      <c r="G73" s="3">
        <f>Table6[[#This Row],[ '# units Projected With Program]]-Table6[[#This Row],['# Projected units Incented by Program]]</f>
        <v>203</v>
      </c>
      <c r="H73" s="3">
        <f>Table6[[#This Row],[ '# units Projected With Program (as of March 31 2025)]]-Table6[[#This Row],[Increase in projected units ]]</f>
        <v>386</v>
      </c>
      <c r="I73" s="3">
        <v>183</v>
      </c>
      <c r="J73" s="3">
        <v>386</v>
      </c>
      <c r="K73" s="3">
        <f>Table6[[#This Row],[ '# units Projected With Program (as of March 31 2025)]]-Table6[[#This Row],['# units Projected Without Program]]</f>
        <v>183</v>
      </c>
      <c r="L73" s="3"/>
      <c r="M73" s="3">
        <v>6142076</v>
      </c>
      <c r="O73"/>
    </row>
    <row r="74" spans="1:15" x14ac:dyDescent="0.35">
      <c r="A74" t="s">
        <v>113</v>
      </c>
      <c r="B74" t="s">
        <v>112</v>
      </c>
      <c r="C74" t="s">
        <v>10</v>
      </c>
      <c r="D74" t="s">
        <v>11</v>
      </c>
      <c r="E74" s="1">
        <v>45475</v>
      </c>
      <c r="F74" s="2">
        <v>10400830</v>
      </c>
      <c r="G74" s="3">
        <f>Table6[[#This Row],[ '# units Projected With Program]]-Table6[[#This Row],['# Projected units Incented by Program]]</f>
        <v>702</v>
      </c>
      <c r="H74" s="3">
        <f>Table6[[#This Row],[ '# units Projected With Program (as of March 31 2025)]]-Table6[[#This Row],[Increase in projected units ]]</f>
        <v>987</v>
      </c>
      <c r="I74" s="3">
        <v>285</v>
      </c>
      <c r="J74" s="3">
        <v>987</v>
      </c>
      <c r="K74" s="3">
        <f>Table6[[#This Row],[ '# units Projected With Program (as of March 31 2025)]]-Table6[[#This Row],['# units Projected Without Program]]</f>
        <v>285</v>
      </c>
      <c r="L74" s="3"/>
      <c r="M74" s="3">
        <v>10400829.9</v>
      </c>
      <c r="O74"/>
    </row>
    <row r="75" spans="1:15" x14ac:dyDescent="0.35">
      <c r="A75" t="s">
        <v>114</v>
      </c>
      <c r="B75" t="s">
        <v>112</v>
      </c>
      <c r="C75" t="s">
        <v>17</v>
      </c>
      <c r="D75" t="s">
        <v>11</v>
      </c>
      <c r="E75" s="1">
        <v>45475</v>
      </c>
      <c r="F75" s="2">
        <v>3374631</v>
      </c>
      <c r="G75" s="3">
        <f>Table6[[#This Row],[ '# units Projected With Program]]-Table6[[#This Row],['# Projected units Incented by Program]]</f>
        <v>72</v>
      </c>
      <c r="H75" s="3">
        <f>Table6[[#This Row],[ '# units Projected With Program (as of March 31 2025)]]-Table6[[#This Row],[Increase in projected units ]]</f>
        <v>164</v>
      </c>
      <c r="I75" s="3">
        <v>92</v>
      </c>
      <c r="J75" s="3">
        <v>164</v>
      </c>
      <c r="K75" s="3">
        <f>Table6[[#This Row],[ '# units Projected With Program (as of March 31 2025)]]-Table6[[#This Row],['# units Projected Without Program]]</f>
        <v>92</v>
      </c>
      <c r="L75" s="3"/>
      <c r="M75" s="3">
        <v>3374631.2</v>
      </c>
      <c r="O75"/>
    </row>
    <row r="76" spans="1:15" x14ac:dyDescent="0.35">
      <c r="A76" t="s">
        <v>115</v>
      </c>
      <c r="B76" t="s">
        <v>112</v>
      </c>
      <c r="C76" t="s">
        <v>17</v>
      </c>
      <c r="D76" t="s">
        <v>11</v>
      </c>
      <c r="E76" s="1" t="s">
        <v>46</v>
      </c>
      <c r="F76" s="2">
        <v>798300</v>
      </c>
      <c r="G76" s="3">
        <f>Table6[[#This Row],[ '# units Projected With Program]]-Table6[[#This Row],['# Projected units Incented by Program]]</f>
        <v>18</v>
      </c>
      <c r="H76" s="3">
        <f>Table6[[#This Row],[ '# units Projected With Program (as of March 31 2025)]]-Table6[[#This Row],[Increase in projected units ]]</f>
        <v>36</v>
      </c>
      <c r="I76" s="3">
        <v>18</v>
      </c>
      <c r="J76" s="3">
        <v>36</v>
      </c>
      <c r="K76" s="3">
        <f>Table6[[#This Row],[ '# units Projected With Program (as of March 31 2025)]]-Table6[[#This Row],['# units Projected Without Program]]</f>
        <v>18</v>
      </c>
      <c r="L76" s="3"/>
      <c r="M76" s="3">
        <v>798300</v>
      </c>
      <c r="O76"/>
    </row>
    <row r="77" spans="1:15" x14ac:dyDescent="0.35">
      <c r="A77" t="s">
        <v>116</v>
      </c>
      <c r="B77" t="s">
        <v>112</v>
      </c>
      <c r="C77" t="s">
        <v>10</v>
      </c>
      <c r="D77" t="s">
        <v>11</v>
      </c>
      <c r="E77" s="1" t="s">
        <v>108</v>
      </c>
      <c r="F77" s="2">
        <v>4350000</v>
      </c>
      <c r="G77" s="3">
        <f>Table6[[#This Row],[ '# units Projected With Program]]-Table6[[#This Row],['# Projected units Incented by Program]]</f>
        <v>90</v>
      </c>
      <c r="H77" s="3">
        <f>Table6[[#This Row],[ '# units Projected With Program (as of March 31 2025)]]-Table6[[#This Row],[Increase in projected units ]]</f>
        <v>200</v>
      </c>
      <c r="I77" s="3">
        <v>110</v>
      </c>
      <c r="J77" s="3">
        <v>200</v>
      </c>
      <c r="K77" s="3">
        <f>Table6[[#This Row],[ '# units Projected With Program (as of March 31 2025)]]-Table6[[#This Row],['# units Projected Without Program]]</f>
        <v>110</v>
      </c>
      <c r="L77" s="3"/>
      <c r="M77" s="3">
        <v>4350000</v>
      </c>
      <c r="O77"/>
    </row>
    <row r="78" spans="1:15" x14ac:dyDescent="0.35">
      <c r="A78" t="s">
        <v>117</v>
      </c>
      <c r="B78" t="s">
        <v>112</v>
      </c>
      <c r="C78" t="s">
        <v>10</v>
      </c>
      <c r="D78" t="s">
        <v>11</v>
      </c>
      <c r="E78" s="1" t="s">
        <v>108</v>
      </c>
      <c r="F78" s="2">
        <v>4606144</v>
      </c>
      <c r="G78" s="3">
        <f>Table6[[#This Row],[ '# units Projected With Program]]-Table6[[#This Row],['# Projected units Incented by Program]]</f>
        <v>53</v>
      </c>
      <c r="H78" s="3">
        <f>Table6[[#This Row],[ '# units Projected With Program (as of March 31 2025)]]-Table6[[#This Row],[Increase in projected units ]]</f>
        <v>198</v>
      </c>
      <c r="I78" s="3">
        <v>145</v>
      </c>
      <c r="J78" s="3">
        <v>198</v>
      </c>
      <c r="K78" s="3">
        <f>Table6[[#This Row],[ '# units Projected With Program (as of March 31 2025)]]-Table6[[#This Row],['# units Projected Without Program]]</f>
        <v>145</v>
      </c>
      <c r="L78" s="3"/>
      <c r="M78" s="3">
        <v>4606144.4000000004</v>
      </c>
      <c r="O78"/>
    </row>
    <row r="79" spans="1:15" x14ac:dyDescent="0.35">
      <c r="A79" t="s">
        <v>118</v>
      </c>
      <c r="B79" t="s">
        <v>112</v>
      </c>
      <c r="C79" t="s">
        <v>17</v>
      </c>
      <c r="D79" t="s">
        <v>11</v>
      </c>
      <c r="E79" s="1" t="s">
        <v>108</v>
      </c>
      <c r="F79" s="2">
        <v>500000</v>
      </c>
      <c r="G79" s="3">
        <f>Table6[[#This Row],[ '# units Projected With Program]]-Table6[[#This Row],['# Projected units Incented by Program]]</f>
        <v>9</v>
      </c>
      <c r="H79" s="3">
        <f>Table6[[#This Row],[ '# units Projected With Program (as of March 31 2025)]]-Table6[[#This Row],[Increase in projected units ]]</f>
        <v>31</v>
      </c>
      <c r="I79" s="3">
        <v>22</v>
      </c>
      <c r="J79" s="3">
        <v>31</v>
      </c>
      <c r="K79" s="3">
        <f>Table6[[#This Row],[ '# units Projected With Program (as of March 31 2025)]]-Table6[[#This Row],['# units Projected Without Program]]</f>
        <v>22</v>
      </c>
      <c r="L79" s="3"/>
      <c r="M79" s="3">
        <v>500000</v>
      </c>
      <c r="O79"/>
    </row>
    <row r="80" spans="1:15" x14ac:dyDescent="0.35">
      <c r="A80" t="s">
        <v>119</v>
      </c>
      <c r="B80" t="s">
        <v>112</v>
      </c>
      <c r="C80" t="s">
        <v>17</v>
      </c>
      <c r="D80" t="s">
        <v>11</v>
      </c>
      <c r="E80" s="1" t="s">
        <v>120</v>
      </c>
      <c r="F80" s="2">
        <v>896015</v>
      </c>
      <c r="G80" s="3">
        <f>Table6[[#This Row],[ '# units Projected With Program]]-Table6[[#This Row],['# Projected units Incented by Program]]</f>
        <v>4</v>
      </c>
      <c r="H80" s="3">
        <f>Table6[[#This Row],[ '# units Projected With Program (as of March 31 2025)]]-Table6[[#This Row],[Increase in projected units ]]</f>
        <v>24</v>
      </c>
      <c r="I80" s="3">
        <v>20</v>
      </c>
      <c r="J80" s="3">
        <v>24</v>
      </c>
      <c r="K80" s="3">
        <f>Table6[[#This Row],[ '# units Projected With Program (as of March 31 2025)]]-Table6[[#This Row],['# units Projected Without Program]]</f>
        <v>20</v>
      </c>
      <c r="L80" s="3"/>
      <c r="M80" s="3">
        <v>896015.2</v>
      </c>
      <c r="O80"/>
    </row>
    <row r="81" spans="1:15" x14ac:dyDescent="0.35">
      <c r="A81" t="s">
        <v>121</v>
      </c>
      <c r="B81" t="s">
        <v>122</v>
      </c>
      <c r="C81" t="s">
        <v>17</v>
      </c>
      <c r="D81" t="s">
        <v>11</v>
      </c>
      <c r="E81" s="1" t="s">
        <v>54</v>
      </c>
      <c r="F81" s="2">
        <v>8429601</v>
      </c>
      <c r="G81" s="3">
        <f>Table6[[#This Row],[ '# units Projected With Program]]-Table6[[#This Row],['# Projected units Incented by Program]]</f>
        <v>215</v>
      </c>
      <c r="H81" s="3">
        <f>Table6[[#This Row],[ '# units Projected With Program (as of March 31 2025)]]-Table6[[#This Row],[Increase in projected units ]]</f>
        <v>369</v>
      </c>
      <c r="I81" s="3">
        <v>154</v>
      </c>
      <c r="J81" s="3">
        <v>369</v>
      </c>
      <c r="K81" s="3">
        <f>Table6[[#This Row],[ '# units Projected With Program (as of March 31 2025)]]-Table6[[#This Row],['# units Projected Without Program]]</f>
        <v>154</v>
      </c>
      <c r="L81" s="3"/>
      <c r="M81" s="3">
        <v>8429600.6999999993</v>
      </c>
      <c r="O81"/>
    </row>
    <row r="82" spans="1:15" x14ac:dyDescent="0.35">
      <c r="A82" t="s">
        <v>123</v>
      </c>
      <c r="B82" t="s">
        <v>122</v>
      </c>
      <c r="C82" t="s">
        <v>17</v>
      </c>
      <c r="D82" t="s">
        <v>18</v>
      </c>
      <c r="E82" s="1">
        <v>45628</v>
      </c>
      <c r="F82" s="2">
        <v>580000</v>
      </c>
      <c r="G82" s="3">
        <f>Table6[[#This Row],[ '# units Projected With Program]]-Table6[[#This Row],['# Projected units Incented by Program]]</f>
        <v>2</v>
      </c>
      <c r="H82" s="3">
        <f>Table6[[#This Row],[ '# units Projected With Program (as of March 31 2025)]]-Table6[[#This Row],[Increase in projected units ]]</f>
        <v>10</v>
      </c>
      <c r="I82" s="3">
        <v>8</v>
      </c>
      <c r="J82" s="3">
        <v>10</v>
      </c>
      <c r="K82" s="3">
        <f>Table6[[#This Row],[ '# units Projected With Program (as of March 31 2025)]]-Table6[[#This Row],['# units Projected Without Program]]</f>
        <v>8</v>
      </c>
      <c r="L82" s="3"/>
      <c r="M82" s="3">
        <v>580000</v>
      </c>
      <c r="O82"/>
    </row>
    <row r="83" spans="1:15" x14ac:dyDescent="0.35">
      <c r="A83" t="s">
        <v>124</v>
      </c>
      <c r="B83" t="s">
        <v>122</v>
      </c>
      <c r="C83" t="s">
        <v>17</v>
      </c>
      <c r="D83" t="s">
        <v>18</v>
      </c>
      <c r="E83" s="1" t="s">
        <v>14</v>
      </c>
      <c r="F83" s="2">
        <v>885000</v>
      </c>
      <c r="G83" s="3">
        <f>Table6[[#This Row],[ '# units Projected With Program]]-Table6[[#This Row],['# Projected units Incented by Program]]</f>
        <v>1</v>
      </c>
      <c r="H83" s="3">
        <f>Table6[[#This Row],[ '# units Projected With Program (as of March 31 2025)]]-Table6[[#This Row],[Increase in projected units ]]</f>
        <v>16</v>
      </c>
      <c r="I83" s="3">
        <v>15</v>
      </c>
      <c r="J83" s="3">
        <v>16</v>
      </c>
      <c r="K83" s="3">
        <f>Table6[[#This Row],[ '# units Projected With Program (as of March 31 2025)]]-Table6[[#This Row],['# units Projected Without Program]]</f>
        <v>15</v>
      </c>
      <c r="L83" s="3"/>
      <c r="M83" s="3">
        <v>885000</v>
      </c>
      <c r="O83"/>
    </row>
    <row r="84" spans="1:15" x14ac:dyDescent="0.35">
      <c r="A84" t="s">
        <v>125</v>
      </c>
      <c r="B84" t="s">
        <v>122</v>
      </c>
      <c r="C84" t="s">
        <v>17</v>
      </c>
      <c r="D84" t="s">
        <v>11</v>
      </c>
      <c r="E84" s="1" t="s">
        <v>84</v>
      </c>
      <c r="F84" s="2">
        <v>2034171</v>
      </c>
      <c r="G84" s="3">
        <f>Table6[[#This Row],[ '# units Projected With Program]]-Table6[[#This Row],['# Projected units Incented by Program]]</f>
        <v>25</v>
      </c>
      <c r="H84" s="3">
        <f>Table6[[#This Row],[ '# units Projected With Program (as of March 31 2025)]]-Table6[[#This Row],[Increase in projected units ]]</f>
        <v>55</v>
      </c>
      <c r="I84" s="3">
        <v>30</v>
      </c>
      <c r="J84" s="3">
        <v>55</v>
      </c>
      <c r="K84" s="3">
        <f>Table6[[#This Row],[ '# units Projected With Program (as of March 31 2025)]]-Table6[[#This Row],['# units Projected Without Program]]</f>
        <v>30</v>
      </c>
      <c r="L84" s="3"/>
      <c r="M84" s="3">
        <v>2034171</v>
      </c>
      <c r="O84"/>
    </row>
    <row r="85" spans="1:15" x14ac:dyDescent="0.35">
      <c r="A85" t="s">
        <v>126</v>
      </c>
      <c r="B85" t="s">
        <v>127</v>
      </c>
      <c r="C85" t="s">
        <v>10</v>
      </c>
      <c r="D85" t="s">
        <v>11</v>
      </c>
      <c r="E85" s="1" t="s">
        <v>14</v>
      </c>
      <c r="F85" s="2">
        <v>11380341</v>
      </c>
      <c r="G85" s="3">
        <f>Table6[[#This Row],[ '# units Projected With Program]]-Table6[[#This Row],['# Projected units Incented by Program]]</f>
        <v>671</v>
      </c>
      <c r="H85" s="3">
        <f>Table6[[#This Row],[ '# units Projected With Program (as of March 31 2025)]]-Table6[[#This Row],[Increase in projected units ]]</f>
        <v>1010</v>
      </c>
      <c r="I85" s="3">
        <v>339</v>
      </c>
      <c r="J85" s="3">
        <v>1010</v>
      </c>
      <c r="K85" s="3">
        <f>Table6[[#This Row],[ '# units Projected With Program (as of March 31 2025)]]-Table6[[#This Row],['# units Projected Without Program]]</f>
        <v>339</v>
      </c>
      <c r="L85" s="3"/>
      <c r="M85" s="3">
        <v>11380341</v>
      </c>
      <c r="O85"/>
    </row>
    <row r="86" spans="1:15" x14ac:dyDescent="0.35">
      <c r="A86" t="s">
        <v>128</v>
      </c>
      <c r="B86" t="s">
        <v>127</v>
      </c>
      <c r="C86" t="s">
        <v>10</v>
      </c>
      <c r="D86" t="s">
        <v>11</v>
      </c>
      <c r="E86" s="1" t="s">
        <v>129</v>
      </c>
      <c r="F86" s="2">
        <v>5885000</v>
      </c>
      <c r="G86" s="3">
        <f>Table6[[#This Row],[ '# units Projected With Program]]-Table6[[#This Row],['# Projected units Incented by Program]]</f>
        <v>974</v>
      </c>
      <c r="H86" s="3">
        <f>Table6[[#This Row],[ '# units Projected With Program (as of March 31 2025)]]-Table6[[#This Row],[Increase in projected units ]]</f>
        <v>1186</v>
      </c>
      <c r="I86" s="3">
        <v>212</v>
      </c>
      <c r="J86" s="3">
        <v>1186</v>
      </c>
      <c r="K86" s="3">
        <f>Table6[[#This Row],[ '# units Projected With Program (as of March 31 2025)]]-Table6[[#This Row],['# units Projected Without Program]]</f>
        <v>212</v>
      </c>
      <c r="L86" s="3"/>
      <c r="M86" s="3">
        <v>5885000</v>
      </c>
      <c r="O86"/>
    </row>
    <row r="87" spans="1:15" x14ac:dyDescent="0.35">
      <c r="A87" t="s">
        <v>130</v>
      </c>
      <c r="B87" t="s">
        <v>127</v>
      </c>
      <c r="C87" t="s">
        <v>10</v>
      </c>
      <c r="D87" t="s">
        <v>11</v>
      </c>
      <c r="E87" s="1">
        <v>45270</v>
      </c>
      <c r="F87" s="2">
        <v>79309000</v>
      </c>
      <c r="G87" s="3">
        <f>Table6[[#This Row],[ '# units Projected With Program]]-Table6[[#This Row],['# Projected units Incented by Program]]</f>
        <v>12867</v>
      </c>
      <c r="H87" s="3">
        <f>Table6[[#This Row],[ '# units Projected With Program (as of March 31 2025)]]-Table6[[#This Row],[Increase in projected units ]]</f>
        <v>15467</v>
      </c>
      <c r="I87" s="3">
        <v>2600</v>
      </c>
      <c r="J87" s="3">
        <v>15467</v>
      </c>
      <c r="K87" s="3">
        <f>Table6[[#This Row],[ '# units Projected With Program (as of March 31 2025)]]-Table6[[#This Row],['# units Projected Without Program]]</f>
        <v>2600</v>
      </c>
      <c r="L87" s="3"/>
      <c r="M87" s="3">
        <v>79309000</v>
      </c>
      <c r="O87"/>
    </row>
    <row r="88" spans="1:15" x14ac:dyDescent="0.35">
      <c r="A88" t="s">
        <v>131</v>
      </c>
      <c r="B88" t="s">
        <v>127</v>
      </c>
      <c r="C88" t="s">
        <v>17</v>
      </c>
      <c r="D88" t="s">
        <v>18</v>
      </c>
      <c r="E88" s="1">
        <v>45293</v>
      </c>
      <c r="F88" s="2">
        <v>1940000</v>
      </c>
      <c r="G88" s="3">
        <f>Table6[[#This Row],[ '# units Projected With Program]]-Table6[[#This Row],['# Projected units Incented by Program]]</f>
        <v>18</v>
      </c>
      <c r="H88" s="3">
        <f>Table6[[#This Row],[ '# units Projected With Program (as of March 31 2025)]]-Table6[[#This Row],[Increase in projected units ]]</f>
        <v>46</v>
      </c>
      <c r="I88" s="3">
        <v>28</v>
      </c>
      <c r="J88" s="3">
        <v>46</v>
      </c>
      <c r="K88" s="3">
        <f>Table6[[#This Row],[ '# units Projected With Program (as of March 31 2025)]]-Table6[[#This Row],['# units Projected Without Program]]</f>
        <v>28</v>
      </c>
      <c r="L88" s="3"/>
      <c r="M88" s="3">
        <v>1940000</v>
      </c>
      <c r="O88"/>
    </row>
    <row r="89" spans="1:15" x14ac:dyDescent="0.35">
      <c r="A89" t="s">
        <v>132</v>
      </c>
      <c r="B89" t="s">
        <v>127</v>
      </c>
      <c r="C89" t="s">
        <v>17</v>
      </c>
      <c r="D89" t="s">
        <v>18</v>
      </c>
      <c r="E89" s="1" t="s">
        <v>22</v>
      </c>
      <c r="F89" s="2">
        <v>2482000</v>
      </c>
      <c r="G89" s="3">
        <f>Table6[[#This Row],[ '# units Projected With Program]]-Table6[[#This Row],['# Projected units Incented by Program]]</f>
        <v>84</v>
      </c>
      <c r="H89" s="3">
        <f>Table6[[#This Row],[ '# units Projected With Program (as of March 31 2025)]]-Table6[[#This Row],[Increase in projected units ]]</f>
        <v>122</v>
      </c>
      <c r="I89" s="3">
        <v>38</v>
      </c>
      <c r="J89" s="3">
        <v>122</v>
      </c>
      <c r="K89" s="3">
        <f>Table6[[#This Row],[ '# units Projected With Program (as of March 31 2025)]]-Table6[[#This Row],['# units Projected Without Program]]</f>
        <v>38</v>
      </c>
      <c r="L89" s="3"/>
      <c r="M89" s="3">
        <v>2482000</v>
      </c>
      <c r="O89"/>
    </row>
    <row r="90" spans="1:15" x14ac:dyDescent="0.35">
      <c r="A90" t="s">
        <v>133</v>
      </c>
      <c r="B90" t="s">
        <v>127</v>
      </c>
      <c r="C90" t="s">
        <v>10</v>
      </c>
      <c r="D90" t="s">
        <v>11</v>
      </c>
      <c r="E90" s="1" t="s">
        <v>46</v>
      </c>
      <c r="F90" s="2">
        <v>1919753</v>
      </c>
      <c r="G90" s="3">
        <f>Table6[[#This Row],[ '# units Projected With Program]]-Table6[[#This Row],['# Projected units Incented by Program]]</f>
        <v>345</v>
      </c>
      <c r="H90" s="3">
        <f>Table6[[#This Row],[ '# units Projected With Program (as of March 31 2025)]]-Table6[[#This Row],[Increase in projected units ]]</f>
        <v>395</v>
      </c>
      <c r="I90" s="3">
        <v>50</v>
      </c>
      <c r="J90" s="3">
        <v>395</v>
      </c>
      <c r="K90" s="3">
        <f>Table6[[#This Row],[ '# units Projected With Program (as of March 31 2025)]]-Table6[[#This Row],['# units Projected Without Program]]</f>
        <v>50</v>
      </c>
      <c r="L90" s="3"/>
      <c r="M90" s="3">
        <v>1919753</v>
      </c>
      <c r="O90"/>
    </row>
    <row r="91" spans="1:15" x14ac:dyDescent="0.35">
      <c r="A91" t="s">
        <v>134</v>
      </c>
      <c r="B91" t="s">
        <v>127</v>
      </c>
      <c r="C91" t="s">
        <v>10</v>
      </c>
      <c r="D91" t="s">
        <v>11</v>
      </c>
      <c r="E91" s="1" t="s">
        <v>108</v>
      </c>
      <c r="F91" s="2">
        <v>5968852</v>
      </c>
      <c r="G91" s="3">
        <f>Table6[[#This Row],[ '# units Projected With Program]]-Table6[[#This Row],['# Projected units Incented by Program]]</f>
        <v>570</v>
      </c>
      <c r="H91" s="3">
        <f>Table6[[#This Row],[ '# units Projected With Program (as of March 31 2025)]]-Table6[[#This Row],[Increase in projected units ]]</f>
        <v>796</v>
      </c>
      <c r="I91" s="3">
        <v>226</v>
      </c>
      <c r="J91" s="3">
        <v>796</v>
      </c>
      <c r="K91" s="3">
        <f>Table6[[#This Row],[ '# units Projected With Program (as of March 31 2025)]]-Table6[[#This Row],['# units Projected Without Program]]</f>
        <v>226</v>
      </c>
      <c r="L91" s="3"/>
      <c r="M91" s="3">
        <v>5968851.5999999996</v>
      </c>
      <c r="O91"/>
    </row>
    <row r="92" spans="1:15" x14ac:dyDescent="0.35">
      <c r="A92" t="s">
        <v>135</v>
      </c>
      <c r="B92" t="s">
        <v>127</v>
      </c>
      <c r="C92" t="s">
        <v>10</v>
      </c>
      <c r="D92" t="s">
        <v>11</v>
      </c>
      <c r="E92" s="1">
        <v>45293</v>
      </c>
      <c r="F92" s="2">
        <v>1986000</v>
      </c>
      <c r="G92" s="3">
        <f>Table6[[#This Row],[ '# units Projected With Program]]-Table6[[#This Row],['# Projected units Incented by Program]]</f>
        <v>150</v>
      </c>
      <c r="H92" s="3">
        <f>Table6[[#This Row],[ '# units Projected With Program (as of March 31 2025)]]-Table6[[#This Row],[Increase in projected units ]]</f>
        <v>220</v>
      </c>
      <c r="I92" s="3">
        <v>70</v>
      </c>
      <c r="J92" s="3">
        <v>220</v>
      </c>
      <c r="K92" s="3">
        <f>Table6[[#This Row],[ '# units Projected With Program (as of March 31 2025)]]-Table6[[#This Row],['# units Projected Without Program]]</f>
        <v>70</v>
      </c>
      <c r="L92" s="3"/>
      <c r="M92" s="3">
        <v>1986000</v>
      </c>
      <c r="O92"/>
    </row>
    <row r="93" spans="1:15" x14ac:dyDescent="0.35">
      <c r="A93" t="s">
        <v>136</v>
      </c>
      <c r="B93" t="s">
        <v>127</v>
      </c>
      <c r="C93" t="s">
        <v>17</v>
      </c>
      <c r="D93" t="s">
        <v>18</v>
      </c>
      <c r="E93" s="1" t="s">
        <v>22</v>
      </c>
      <c r="F93" s="2">
        <v>1253000</v>
      </c>
      <c r="G93" s="3">
        <f>Table6[[#This Row],[ '# units Projected With Program]]-Table6[[#This Row],['# Projected units Incented by Program]]</f>
        <v>3</v>
      </c>
      <c r="H93" s="3">
        <f>Table6[[#This Row],[ '# units Projected With Program (as of March 31 2025)]]-Table6[[#This Row],[Increase in projected units ]]</f>
        <v>21</v>
      </c>
      <c r="I93" s="3">
        <v>18</v>
      </c>
      <c r="J93" s="3">
        <v>21</v>
      </c>
      <c r="K93" s="3">
        <f>Table6[[#This Row],[ '# units Projected With Program (as of March 31 2025)]]-Table6[[#This Row],['# units Projected Without Program]]</f>
        <v>18</v>
      </c>
      <c r="L93" s="3"/>
      <c r="M93" s="3">
        <v>1253000</v>
      </c>
      <c r="O93"/>
    </row>
    <row r="94" spans="1:15" x14ac:dyDescent="0.35">
      <c r="A94" t="s">
        <v>137</v>
      </c>
      <c r="B94" t="s">
        <v>127</v>
      </c>
      <c r="C94" t="s">
        <v>17</v>
      </c>
      <c r="D94" t="s">
        <v>18</v>
      </c>
      <c r="E94" s="1" t="s">
        <v>22</v>
      </c>
      <c r="F94" s="2">
        <v>531000</v>
      </c>
      <c r="G94" s="3">
        <f>Table6[[#This Row],[ '# units Projected With Program]]-Table6[[#This Row],['# Projected units Incented by Program]]</f>
        <v>6</v>
      </c>
      <c r="H94" s="3">
        <f>Table6[[#This Row],[ '# units Projected With Program (as of March 31 2025)]]-Table6[[#This Row],[Increase in projected units ]]</f>
        <v>15</v>
      </c>
      <c r="I94" s="3">
        <v>9</v>
      </c>
      <c r="J94" s="3">
        <v>15</v>
      </c>
      <c r="K94" s="3">
        <f>Table6[[#This Row],[ '# units Projected With Program (as of March 31 2025)]]-Table6[[#This Row],['# units Projected Without Program]]</f>
        <v>9</v>
      </c>
      <c r="L94" s="3"/>
      <c r="M94" s="3">
        <v>531000</v>
      </c>
      <c r="O94"/>
    </row>
    <row r="95" spans="1:15" x14ac:dyDescent="0.35">
      <c r="A95" t="s">
        <v>138</v>
      </c>
      <c r="B95" t="s">
        <v>127</v>
      </c>
      <c r="C95" t="s">
        <v>17</v>
      </c>
      <c r="D95" t="s">
        <v>11</v>
      </c>
      <c r="E95" s="1" t="s">
        <v>46</v>
      </c>
      <c r="F95" s="2">
        <v>1560000</v>
      </c>
      <c r="G95" s="3">
        <f>Table6[[#This Row],[ '# units Projected With Program]]-Table6[[#This Row],['# Projected units Incented by Program]]</f>
        <v>18</v>
      </c>
      <c r="H95" s="3">
        <f>Table6[[#This Row],[ '# units Projected With Program (as of March 31 2025)]]-Table6[[#This Row],[Increase in projected units ]]</f>
        <v>96</v>
      </c>
      <c r="I95" s="3">
        <v>78</v>
      </c>
      <c r="J95" s="3">
        <v>96</v>
      </c>
      <c r="K95" s="3">
        <f>Table6[[#This Row],[ '# units Projected With Program (as of March 31 2025)]]-Table6[[#This Row],['# units Projected Without Program]]</f>
        <v>78</v>
      </c>
      <c r="L95" s="3"/>
      <c r="M95" s="3">
        <v>1560000</v>
      </c>
      <c r="O95"/>
    </row>
    <row r="96" spans="1:15" x14ac:dyDescent="0.35">
      <c r="A96" t="s">
        <v>139</v>
      </c>
      <c r="B96" t="s">
        <v>127</v>
      </c>
      <c r="C96" t="s">
        <v>17</v>
      </c>
      <c r="D96" t="s">
        <v>11</v>
      </c>
      <c r="E96" s="1" t="s">
        <v>22</v>
      </c>
      <c r="F96" s="2">
        <v>1316000</v>
      </c>
      <c r="G96" s="3">
        <f>Table6[[#This Row],[ '# units Projected With Program]]-Table6[[#This Row],['# Projected units Incented by Program]]</f>
        <v>30</v>
      </c>
      <c r="H96" s="3">
        <f>Table6[[#This Row],[ '# units Projected With Program (as of March 31 2025)]]-Table6[[#This Row],[Increase in projected units ]]</f>
        <v>73</v>
      </c>
      <c r="I96" s="3">
        <v>43</v>
      </c>
      <c r="J96" s="3">
        <v>73</v>
      </c>
      <c r="K96" s="3">
        <f>Table6[[#This Row],[ '# units Projected With Program (as of March 31 2025)]]-Table6[[#This Row],['# units Projected Without Program]]</f>
        <v>43</v>
      </c>
      <c r="L96" s="3"/>
      <c r="M96" s="3">
        <v>1316000</v>
      </c>
      <c r="O96"/>
    </row>
    <row r="97" spans="1:15" x14ac:dyDescent="0.35">
      <c r="A97" t="s">
        <v>140</v>
      </c>
      <c r="B97" t="s">
        <v>127</v>
      </c>
      <c r="C97" t="s">
        <v>17</v>
      </c>
      <c r="D97" t="s">
        <v>11</v>
      </c>
      <c r="E97" s="1" t="s">
        <v>46</v>
      </c>
      <c r="F97" s="2">
        <v>1158943</v>
      </c>
      <c r="G97" s="3">
        <f>Table6[[#This Row],[ '# units Projected With Program]]-Table6[[#This Row],['# Projected units Incented by Program]]</f>
        <v>99</v>
      </c>
      <c r="H97" s="3">
        <f>Table6[[#This Row],[ '# units Projected With Program (as of March 31 2025)]]-Table6[[#This Row],[Increase in projected units ]]</f>
        <v>135</v>
      </c>
      <c r="I97" s="3">
        <v>36</v>
      </c>
      <c r="J97" s="3">
        <v>135</v>
      </c>
      <c r="K97" s="3">
        <f>Table6[[#This Row],[ '# units Projected With Program (as of March 31 2025)]]-Table6[[#This Row],['# units Projected Without Program]]</f>
        <v>36</v>
      </c>
      <c r="L97" s="3"/>
      <c r="M97" s="3">
        <v>1158943</v>
      </c>
      <c r="O97"/>
    </row>
    <row r="98" spans="1:15" x14ac:dyDescent="0.35">
      <c r="A98" t="s">
        <v>141</v>
      </c>
      <c r="B98" t="s">
        <v>127</v>
      </c>
      <c r="C98" t="s">
        <v>17</v>
      </c>
      <c r="D98" t="s">
        <v>11</v>
      </c>
      <c r="E98" s="1" t="s">
        <v>46</v>
      </c>
      <c r="F98" s="2">
        <v>3260025</v>
      </c>
      <c r="G98" s="3">
        <f>Table6[[#This Row],[ '# units Projected With Program]]-Table6[[#This Row],['# Projected units Incented by Program]]</f>
        <v>119</v>
      </c>
      <c r="H98" s="3">
        <f>Table6[[#This Row],[ '# units Projected With Program (as of March 31 2025)]]-Table6[[#This Row],[Increase in projected units ]]</f>
        <v>209</v>
      </c>
      <c r="I98" s="3">
        <v>90</v>
      </c>
      <c r="J98" s="3">
        <v>209</v>
      </c>
      <c r="K98" s="3">
        <f>Table6[[#This Row],[ '# units Projected With Program (as of March 31 2025)]]-Table6[[#This Row],['# units Projected Without Program]]</f>
        <v>90</v>
      </c>
      <c r="L98" s="3"/>
      <c r="M98" s="3">
        <v>3260024.7</v>
      </c>
      <c r="O98"/>
    </row>
    <row r="99" spans="1:15" x14ac:dyDescent="0.35">
      <c r="A99" t="s">
        <v>142</v>
      </c>
      <c r="B99" t="s">
        <v>127</v>
      </c>
      <c r="C99" t="s">
        <v>17</v>
      </c>
      <c r="D99" t="s">
        <v>11</v>
      </c>
      <c r="E99" s="1" t="s">
        <v>25</v>
      </c>
      <c r="F99" s="2">
        <v>775013</v>
      </c>
      <c r="G99" s="3">
        <f>Table6[[#This Row],[ '# units Projected With Program]]-Table6[[#This Row],['# Projected units Incented by Program]]</f>
        <v>51</v>
      </c>
      <c r="H99" s="3">
        <f>Table6[[#This Row],[ '# units Projected With Program (as of March 31 2025)]]-Table6[[#This Row],[Increase in projected units ]]</f>
        <v>79</v>
      </c>
      <c r="I99" s="3">
        <v>28</v>
      </c>
      <c r="J99" s="3">
        <v>79</v>
      </c>
      <c r="K99" s="3">
        <f>Table6[[#This Row],[ '# units Projected With Program (as of March 31 2025)]]-Table6[[#This Row],['# units Projected Without Program]]</f>
        <v>28</v>
      </c>
      <c r="L99" s="3"/>
      <c r="M99" s="3">
        <v>775013.3</v>
      </c>
      <c r="O99"/>
    </row>
    <row r="100" spans="1:15" x14ac:dyDescent="0.35">
      <c r="A100" t="s">
        <v>143</v>
      </c>
      <c r="B100" t="s">
        <v>127</v>
      </c>
      <c r="C100" t="s">
        <v>17</v>
      </c>
      <c r="D100" t="s">
        <v>11</v>
      </c>
      <c r="E100" s="1">
        <v>45293</v>
      </c>
      <c r="F100" s="2">
        <v>1827600</v>
      </c>
      <c r="G100" s="3">
        <f>Table6[[#This Row],[ '# units Projected With Program]]-Table6[[#This Row],['# Projected units Incented by Program]]</f>
        <v>75</v>
      </c>
      <c r="H100" s="3">
        <f>Table6[[#This Row],[ '# units Projected With Program (as of March 31 2025)]]-Table6[[#This Row],[Increase in projected units ]]</f>
        <v>120</v>
      </c>
      <c r="I100" s="3">
        <v>45</v>
      </c>
      <c r="J100" s="3">
        <v>120</v>
      </c>
      <c r="K100" s="3">
        <f>Table6[[#This Row],[ '# units Projected With Program (as of March 31 2025)]]-Table6[[#This Row],['# units Projected Without Program]]</f>
        <v>45</v>
      </c>
      <c r="L100" s="3"/>
      <c r="M100" s="3">
        <v>1827600</v>
      </c>
      <c r="O100"/>
    </row>
    <row r="101" spans="1:15" x14ac:dyDescent="0.35">
      <c r="A101" t="s">
        <v>144</v>
      </c>
      <c r="B101" t="s">
        <v>127</v>
      </c>
      <c r="C101" t="s">
        <v>10</v>
      </c>
      <c r="D101" t="s">
        <v>11</v>
      </c>
      <c r="E101" s="1" t="s">
        <v>46</v>
      </c>
      <c r="F101" s="2">
        <v>1081886</v>
      </c>
      <c r="G101" s="3">
        <f>Table6[[#This Row],[ '# units Projected With Program]]-Table6[[#This Row],['# Projected units Incented by Program]]</f>
        <v>330</v>
      </c>
      <c r="H101" s="3">
        <f>Table6[[#This Row],[ '# units Projected With Program (as of March 31 2025)]]-Table6[[#This Row],[Increase in projected units ]]</f>
        <v>370</v>
      </c>
      <c r="I101" s="3">
        <v>40</v>
      </c>
      <c r="J101" s="3">
        <v>370</v>
      </c>
      <c r="K101" s="3">
        <f>Table6[[#This Row],[ '# units Projected With Program (as of March 31 2025)]]-Table6[[#This Row],['# units Projected Without Program]]</f>
        <v>40</v>
      </c>
      <c r="L101" s="3"/>
      <c r="M101" s="3">
        <v>1081886</v>
      </c>
      <c r="O101"/>
    </row>
    <row r="102" spans="1:15" x14ac:dyDescent="0.35">
      <c r="A102" t="s">
        <v>145</v>
      </c>
      <c r="B102" t="s">
        <v>146</v>
      </c>
      <c r="C102" t="s">
        <v>17</v>
      </c>
      <c r="D102" t="s">
        <v>11</v>
      </c>
      <c r="E102" s="1" t="s">
        <v>54</v>
      </c>
      <c r="F102" s="2">
        <v>8858200</v>
      </c>
      <c r="G102" s="3">
        <f>Table6[[#This Row],[ '# units Projected With Program]]-Table6[[#This Row],['# Projected units Incented by Program]]</f>
        <v>150</v>
      </c>
      <c r="H102" s="3">
        <f>Table6[[#This Row],[ '# units Projected With Program (as of March 31 2025)]]-Table6[[#This Row],[Increase in projected units ]]</f>
        <v>310</v>
      </c>
      <c r="I102" s="3">
        <v>160</v>
      </c>
      <c r="J102" s="3">
        <v>328</v>
      </c>
      <c r="K102" s="3">
        <f>Table6[[#This Row],[ '# units Projected With Program (as of March 31 2025)]]-Table6[[#This Row],['# units Projected Without Program]]</f>
        <v>178</v>
      </c>
      <c r="L102" s="3">
        <v>18</v>
      </c>
      <c r="M102" s="3">
        <v>9745200</v>
      </c>
      <c r="O102"/>
    </row>
    <row r="103" spans="1:15" x14ac:dyDescent="0.35">
      <c r="A103" t="s">
        <v>147</v>
      </c>
      <c r="B103" t="s">
        <v>146</v>
      </c>
      <c r="C103" t="s">
        <v>17</v>
      </c>
      <c r="D103" t="s">
        <v>11</v>
      </c>
      <c r="E103" s="1" t="s">
        <v>106</v>
      </c>
      <c r="F103" s="2">
        <v>554219</v>
      </c>
      <c r="G103" s="3">
        <f>Table6[[#This Row],[ '# units Projected With Program]]-Table6[[#This Row],['# Projected units Incented by Program]]</f>
        <v>1</v>
      </c>
      <c r="H103" s="3">
        <f>Table6[[#This Row],[ '# units Projected With Program (as of March 31 2025)]]-Table6[[#This Row],[Increase in projected units ]]</f>
        <v>9</v>
      </c>
      <c r="I103" s="3">
        <v>8</v>
      </c>
      <c r="J103" s="3">
        <v>9</v>
      </c>
      <c r="K103" s="3">
        <f>Table6[[#This Row],[ '# units Projected With Program (as of March 31 2025)]]-Table6[[#This Row],['# units Projected Without Program]]</f>
        <v>8</v>
      </c>
      <c r="L103" s="3"/>
      <c r="M103" s="3">
        <v>554219.30000000005</v>
      </c>
      <c r="O103"/>
    </row>
    <row r="104" spans="1:15" x14ac:dyDescent="0.35">
      <c r="A104" t="s">
        <v>148</v>
      </c>
      <c r="B104" t="s">
        <v>146</v>
      </c>
      <c r="C104" t="s">
        <v>17</v>
      </c>
      <c r="D104" t="s">
        <v>11</v>
      </c>
      <c r="E104" s="1" t="s">
        <v>54</v>
      </c>
      <c r="F104" s="2">
        <v>1514605</v>
      </c>
      <c r="G104" s="3">
        <f>Table6[[#This Row],[ '# units Projected With Program]]-Table6[[#This Row],['# Projected units Incented by Program]]</f>
        <v>32</v>
      </c>
      <c r="H104" s="3">
        <f>Table6[[#This Row],[ '# units Projected With Program (as of March 31 2025)]]-Table6[[#This Row],[Increase in projected units ]]</f>
        <v>64</v>
      </c>
      <c r="I104" s="3">
        <v>32</v>
      </c>
      <c r="J104" s="3">
        <v>64</v>
      </c>
      <c r="K104" s="3">
        <f>Table6[[#This Row],[ '# units Projected With Program (as of March 31 2025)]]-Table6[[#This Row],['# units Projected Without Program]]</f>
        <v>32</v>
      </c>
      <c r="L104" s="3"/>
      <c r="M104" s="3">
        <v>1514604.8</v>
      </c>
      <c r="O104"/>
    </row>
    <row r="105" spans="1:15" x14ac:dyDescent="0.35">
      <c r="A105" t="s">
        <v>149</v>
      </c>
      <c r="B105" t="s">
        <v>146</v>
      </c>
      <c r="C105" t="s">
        <v>17</v>
      </c>
      <c r="D105" t="s">
        <v>11</v>
      </c>
      <c r="E105" s="1" t="s">
        <v>25</v>
      </c>
      <c r="F105" s="2">
        <v>538452</v>
      </c>
      <c r="G105" s="3">
        <f>Table6[[#This Row],[ '# units Projected With Program]]-Table6[[#This Row],['# Projected units Incented by Program]]</f>
        <v>3</v>
      </c>
      <c r="H105" s="3">
        <f>Table6[[#This Row],[ '# units Projected With Program (as of March 31 2025)]]-Table6[[#This Row],[Increase in projected units ]]</f>
        <v>12</v>
      </c>
      <c r="I105" s="3">
        <v>9</v>
      </c>
      <c r="J105" s="3">
        <v>12</v>
      </c>
      <c r="K105" s="3">
        <f>Table6[[#This Row],[ '# units Projected With Program (as of March 31 2025)]]-Table6[[#This Row],['# units Projected Without Program]]</f>
        <v>9</v>
      </c>
      <c r="L105" s="3"/>
      <c r="M105" s="3">
        <v>538452</v>
      </c>
      <c r="O105"/>
    </row>
    <row r="106" spans="1:15" x14ac:dyDescent="0.35">
      <c r="A106" t="s">
        <v>150</v>
      </c>
      <c r="B106" t="s">
        <v>146</v>
      </c>
      <c r="C106" t="s">
        <v>17</v>
      </c>
      <c r="D106" t="s">
        <v>11</v>
      </c>
      <c r="E106" s="1" t="s">
        <v>35</v>
      </c>
      <c r="F106" s="2">
        <v>1359901</v>
      </c>
      <c r="G106" s="3">
        <f>Table6[[#This Row],[ '# units Projected With Program]]-Table6[[#This Row],['# Projected units Incented by Program]]</f>
        <v>26</v>
      </c>
      <c r="H106" s="3">
        <f>Table6[[#This Row],[ '# units Projected With Program (as of March 31 2025)]]-Table6[[#This Row],[Increase in projected units ]]</f>
        <v>52</v>
      </c>
      <c r="I106" s="3">
        <v>26</v>
      </c>
      <c r="J106" s="3">
        <v>52</v>
      </c>
      <c r="K106" s="3">
        <f>Table6[[#This Row],[ '# units Projected With Program (as of March 31 2025)]]-Table6[[#This Row],['# units Projected Without Program]]</f>
        <v>26</v>
      </c>
      <c r="L106" s="3"/>
      <c r="M106" s="3">
        <v>1359900.8</v>
      </c>
      <c r="O106"/>
    </row>
    <row r="107" spans="1:15" x14ac:dyDescent="0.35">
      <c r="A107" t="s">
        <v>151</v>
      </c>
      <c r="B107" t="s">
        <v>146</v>
      </c>
      <c r="C107" t="s">
        <v>17</v>
      </c>
      <c r="D107" t="s">
        <v>11</v>
      </c>
      <c r="E107" s="1" t="s">
        <v>27</v>
      </c>
      <c r="F107" s="2">
        <v>1034768</v>
      </c>
      <c r="G107" s="3">
        <f>Table6[[#This Row],[ '# units Projected With Program]]-Table6[[#This Row],['# Projected units Incented by Program]]</f>
        <v>4</v>
      </c>
      <c r="H107" s="3">
        <f>Table6[[#This Row],[ '# units Projected With Program (as of March 31 2025)]]-Table6[[#This Row],[Increase in projected units ]]</f>
        <v>20</v>
      </c>
      <c r="I107" s="3">
        <v>16</v>
      </c>
      <c r="J107" s="3">
        <v>20</v>
      </c>
      <c r="K107" s="3">
        <f>Table6[[#This Row],[ '# units Projected With Program (as of March 31 2025)]]-Table6[[#This Row],['# units Projected Without Program]]</f>
        <v>16</v>
      </c>
      <c r="L107" s="3"/>
      <c r="M107" s="3">
        <v>1034768</v>
      </c>
      <c r="O107"/>
    </row>
    <row r="108" spans="1:15" x14ac:dyDescent="0.35">
      <c r="A108" t="s">
        <v>152</v>
      </c>
      <c r="B108" t="s">
        <v>146</v>
      </c>
      <c r="C108" t="s">
        <v>17</v>
      </c>
      <c r="D108" t="s">
        <v>11</v>
      </c>
      <c r="E108" s="1" t="s">
        <v>64</v>
      </c>
      <c r="F108" s="2">
        <v>462529</v>
      </c>
      <c r="G108" s="3">
        <f>Table6[[#This Row],[ '# units Projected With Program]]-Table6[[#This Row],['# Projected units Incented by Program]]</f>
        <v>1</v>
      </c>
      <c r="H108" s="3">
        <f>Table6[[#This Row],[ '# units Projected With Program (as of March 31 2025)]]-Table6[[#This Row],[Increase in projected units ]]</f>
        <v>9</v>
      </c>
      <c r="I108" s="3">
        <v>8</v>
      </c>
      <c r="J108" s="3">
        <v>9</v>
      </c>
      <c r="K108" s="3">
        <f>Table6[[#This Row],[ '# units Projected With Program (as of March 31 2025)]]-Table6[[#This Row],['# units Projected Without Program]]</f>
        <v>8</v>
      </c>
      <c r="L108" s="3"/>
      <c r="M108" s="3">
        <v>462529.1</v>
      </c>
      <c r="O108"/>
    </row>
    <row r="109" spans="1:15" x14ac:dyDescent="0.35">
      <c r="A109" t="s">
        <v>153</v>
      </c>
      <c r="B109" t="s">
        <v>146</v>
      </c>
      <c r="C109" t="s">
        <v>17</v>
      </c>
      <c r="D109" t="s">
        <v>11</v>
      </c>
      <c r="E109" s="1" t="s">
        <v>154</v>
      </c>
      <c r="F109" s="2">
        <v>1845000</v>
      </c>
      <c r="G109" s="3">
        <f>Table6[[#This Row],[ '# units Projected With Program]]-Table6[[#This Row],['# Projected units Incented by Program]]</f>
        <v>30</v>
      </c>
      <c r="H109" s="3">
        <f>Table6[[#This Row],[ '# units Projected With Program (as of March 31 2025)]]-Table6[[#This Row],[Increase in projected units ]]</f>
        <v>60</v>
      </c>
      <c r="I109" s="3">
        <v>30</v>
      </c>
      <c r="J109" s="3">
        <v>60</v>
      </c>
      <c r="K109" s="3">
        <f>Table6[[#This Row],[ '# units Projected With Program (as of March 31 2025)]]-Table6[[#This Row],['# units Projected Without Program]]</f>
        <v>30</v>
      </c>
      <c r="L109" s="3"/>
      <c r="M109" s="3">
        <v>1845000</v>
      </c>
      <c r="O109"/>
    </row>
    <row r="110" spans="1:15" x14ac:dyDescent="0.35">
      <c r="A110" t="s">
        <v>155</v>
      </c>
      <c r="B110" t="s">
        <v>146</v>
      </c>
      <c r="C110" t="s">
        <v>17</v>
      </c>
      <c r="D110" t="s">
        <v>11</v>
      </c>
      <c r="E110" s="1">
        <v>45597</v>
      </c>
      <c r="F110" s="2">
        <v>459000</v>
      </c>
      <c r="G110" s="3">
        <f>Table6[[#This Row],[ '# units Projected With Program]]-Table6[[#This Row],['# Projected units Incented by Program]]</f>
        <v>1</v>
      </c>
      <c r="H110" s="3">
        <f>Table6[[#This Row],[ '# units Projected With Program (as of March 31 2025)]]-Table6[[#This Row],[Increase in projected units ]]</f>
        <v>8</v>
      </c>
      <c r="I110" s="3">
        <v>7</v>
      </c>
      <c r="J110" s="3">
        <v>8</v>
      </c>
      <c r="K110" s="3">
        <f>Table6[[#This Row],[ '# units Projected With Program (as of March 31 2025)]]-Table6[[#This Row],['# units Projected Without Program]]</f>
        <v>7</v>
      </c>
      <c r="L110" s="3"/>
      <c r="M110" s="3">
        <v>459000</v>
      </c>
      <c r="O110"/>
    </row>
    <row r="111" spans="1:15" x14ac:dyDescent="0.35">
      <c r="A111" t="s">
        <v>156</v>
      </c>
      <c r="B111" t="s">
        <v>146</v>
      </c>
      <c r="C111" t="s">
        <v>17</v>
      </c>
      <c r="D111" t="s">
        <v>11</v>
      </c>
      <c r="E111" s="1" t="s">
        <v>27</v>
      </c>
      <c r="F111" s="2">
        <v>1156658</v>
      </c>
      <c r="G111" s="3">
        <f>Table6[[#This Row],[ '# units Projected With Program]]-Table6[[#This Row],['# Projected units Incented by Program]]</f>
        <v>18</v>
      </c>
      <c r="H111" s="3">
        <f>Table6[[#This Row],[ '# units Projected With Program (as of March 31 2025)]]-Table6[[#This Row],[Increase in projected units ]]</f>
        <v>36</v>
      </c>
      <c r="I111" s="3">
        <v>18</v>
      </c>
      <c r="J111" s="3">
        <v>36</v>
      </c>
      <c r="K111" s="3">
        <f>Table6[[#This Row],[ '# units Projected With Program (as of March 31 2025)]]-Table6[[#This Row],['# units Projected Without Program]]</f>
        <v>18</v>
      </c>
      <c r="L111" s="3"/>
      <c r="M111" s="3">
        <v>1156658.3999999999</v>
      </c>
      <c r="O111"/>
    </row>
    <row r="112" spans="1:15" x14ac:dyDescent="0.35">
      <c r="A112" t="s">
        <v>157</v>
      </c>
      <c r="B112" t="s">
        <v>146</v>
      </c>
      <c r="C112" t="s">
        <v>17</v>
      </c>
      <c r="D112" t="s">
        <v>11</v>
      </c>
      <c r="E112" s="1" t="s">
        <v>27</v>
      </c>
      <c r="F112" s="2">
        <v>1329418</v>
      </c>
      <c r="G112" s="3">
        <f>Table6[[#This Row],[ '# units Projected With Program]]-Table6[[#This Row],['# Projected units Incented by Program]]</f>
        <v>5</v>
      </c>
      <c r="H112" s="3">
        <f>Table6[[#This Row],[ '# units Projected With Program (as of March 31 2025)]]-Table6[[#This Row],[Increase in projected units ]]</f>
        <v>25</v>
      </c>
      <c r="I112" s="3">
        <v>20</v>
      </c>
      <c r="J112" s="3">
        <v>25</v>
      </c>
      <c r="K112" s="3">
        <f>Table6[[#This Row],[ '# units Projected With Program (as of March 31 2025)]]-Table6[[#This Row],['# units Projected Without Program]]</f>
        <v>20</v>
      </c>
      <c r="L112" s="3"/>
      <c r="M112" s="3">
        <v>1329417.5</v>
      </c>
      <c r="O112"/>
    </row>
    <row r="113" spans="1:15" x14ac:dyDescent="0.35">
      <c r="A113" t="s">
        <v>158</v>
      </c>
      <c r="B113" t="s">
        <v>146</v>
      </c>
      <c r="C113" t="s">
        <v>17</v>
      </c>
      <c r="D113" t="s">
        <v>11</v>
      </c>
      <c r="E113" s="1" t="s">
        <v>46</v>
      </c>
      <c r="F113" s="2">
        <v>540710</v>
      </c>
      <c r="G113" s="3">
        <f>Table6[[#This Row],[ '# units Projected With Program]]-Table6[[#This Row],['# Projected units Incented by Program]]</f>
        <v>1</v>
      </c>
      <c r="H113" s="3">
        <f>Table6[[#This Row],[ '# units Projected With Program (as of March 31 2025)]]-Table6[[#This Row],[Increase in projected units ]]</f>
        <v>9</v>
      </c>
      <c r="I113" s="3">
        <v>8</v>
      </c>
      <c r="J113" s="3">
        <v>9</v>
      </c>
      <c r="K113" s="3">
        <f>Table6[[#This Row],[ '# units Projected With Program (as of March 31 2025)]]-Table6[[#This Row],['# units Projected Without Program]]</f>
        <v>8</v>
      </c>
      <c r="L113" s="3"/>
      <c r="M113" s="3">
        <v>540710.30000000005</v>
      </c>
      <c r="O113"/>
    </row>
    <row r="114" spans="1:15" x14ac:dyDescent="0.35">
      <c r="A114" t="s">
        <v>159</v>
      </c>
      <c r="B114" t="s">
        <v>146</v>
      </c>
      <c r="C114" t="s">
        <v>17</v>
      </c>
      <c r="D114" t="s">
        <v>11</v>
      </c>
      <c r="E114" s="1" t="s">
        <v>106</v>
      </c>
      <c r="F114" s="2">
        <v>463415</v>
      </c>
      <c r="G114" s="3">
        <f>Table6[[#This Row],[ '# units Projected With Program]]-Table6[[#This Row],['# Projected units Incented by Program]]</f>
        <v>27</v>
      </c>
      <c r="H114" s="3">
        <f>Table6[[#This Row],[ '# units Projected With Program (as of March 31 2025)]]-Table6[[#This Row],[Increase in projected units ]]</f>
        <v>35</v>
      </c>
      <c r="I114" s="3">
        <v>8</v>
      </c>
      <c r="J114" s="3">
        <v>35</v>
      </c>
      <c r="K114" s="3">
        <f>Table6[[#This Row],[ '# units Projected With Program (as of March 31 2025)]]-Table6[[#This Row],['# units Projected Without Program]]</f>
        <v>8</v>
      </c>
      <c r="L114" s="3"/>
      <c r="M114" s="3">
        <v>463414.5</v>
      </c>
      <c r="O114"/>
    </row>
    <row r="115" spans="1:15" x14ac:dyDescent="0.35">
      <c r="A115" t="s">
        <v>160</v>
      </c>
      <c r="B115" t="s">
        <v>146</v>
      </c>
      <c r="C115" t="s">
        <v>17</v>
      </c>
      <c r="D115" t="s">
        <v>11</v>
      </c>
      <c r="E115" s="1" t="s">
        <v>46</v>
      </c>
      <c r="F115" s="2">
        <v>799378</v>
      </c>
      <c r="G115" s="3">
        <f>Table6[[#This Row],[ '# units Projected With Program]]-Table6[[#This Row],['# Projected units Incented by Program]]</f>
        <v>12</v>
      </c>
      <c r="H115" s="3">
        <f>Table6[[#This Row],[ '# units Projected With Program (as of March 31 2025)]]-Table6[[#This Row],[Increase in projected units ]]</f>
        <v>24</v>
      </c>
      <c r="I115" s="3">
        <v>12</v>
      </c>
      <c r="J115" s="3">
        <v>24</v>
      </c>
      <c r="K115" s="3">
        <f>Table6[[#This Row],[ '# units Projected With Program (as of March 31 2025)]]-Table6[[#This Row],['# units Projected Without Program]]</f>
        <v>12</v>
      </c>
      <c r="L115" s="3"/>
      <c r="M115" s="3">
        <v>799377.6</v>
      </c>
      <c r="O115"/>
    </row>
    <row r="116" spans="1:15" x14ac:dyDescent="0.35">
      <c r="A116" t="s">
        <v>161</v>
      </c>
      <c r="B116" t="s">
        <v>146</v>
      </c>
      <c r="C116" t="s">
        <v>17</v>
      </c>
      <c r="D116" t="s">
        <v>11</v>
      </c>
      <c r="E116" s="1" t="s">
        <v>46</v>
      </c>
      <c r="F116" s="2">
        <v>591234</v>
      </c>
      <c r="G116" s="3">
        <f>Table6[[#This Row],[ '# units Projected With Program]]-Table6[[#This Row],['# Projected units Incented by Program]]</f>
        <v>3</v>
      </c>
      <c r="H116" s="3">
        <f>Table6[[#This Row],[ '# units Projected With Program (as of March 31 2025)]]-Table6[[#This Row],[Increase in projected units ]]</f>
        <v>12</v>
      </c>
      <c r="I116" s="3">
        <v>9</v>
      </c>
      <c r="J116" s="3">
        <v>12</v>
      </c>
      <c r="K116" s="3">
        <f>Table6[[#This Row],[ '# units Projected With Program (as of March 31 2025)]]-Table6[[#This Row],['# units Projected Without Program]]</f>
        <v>9</v>
      </c>
      <c r="L116" s="3"/>
      <c r="M116" s="3">
        <v>591234</v>
      </c>
      <c r="O116"/>
    </row>
    <row r="117" spans="1:15" x14ac:dyDescent="0.35">
      <c r="A117" t="s">
        <v>162</v>
      </c>
      <c r="B117" t="s">
        <v>146</v>
      </c>
      <c r="C117" t="s">
        <v>17</v>
      </c>
      <c r="D117" t="s">
        <v>11</v>
      </c>
      <c r="E117" s="1" t="s">
        <v>25</v>
      </c>
      <c r="F117" s="2">
        <v>761814</v>
      </c>
      <c r="G117" s="3">
        <f>Table6[[#This Row],[ '# units Projected With Program]]-Table6[[#This Row],['# Projected units Incented by Program]]</f>
        <v>27</v>
      </c>
      <c r="H117" s="3">
        <f>Table6[[#This Row],[ '# units Projected With Program (as of March 31 2025)]]-Table6[[#This Row],[Increase in projected units ]]</f>
        <v>38</v>
      </c>
      <c r="I117" s="3">
        <v>11</v>
      </c>
      <c r="J117" s="3">
        <v>38</v>
      </c>
      <c r="K117" s="3">
        <f>Table6[[#This Row],[ '# units Projected With Program (as of March 31 2025)]]-Table6[[#This Row],['# units Projected Without Program]]</f>
        <v>11</v>
      </c>
      <c r="L117" s="3"/>
      <c r="M117" s="3">
        <v>761813.8</v>
      </c>
      <c r="O117"/>
    </row>
    <row r="118" spans="1:15" x14ac:dyDescent="0.35">
      <c r="A118" t="s">
        <v>163</v>
      </c>
      <c r="B118" t="s">
        <v>146</v>
      </c>
      <c r="C118" t="s">
        <v>17</v>
      </c>
      <c r="D118" t="s">
        <v>11</v>
      </c>
      <c r="E118" s="1">
        <v>45536</v>
      </c>
      <c r="F118" s="2">
        <v>542660</v>
      </c>
      <c r="G118" s="3">
        <f>Table6[[#This Row],[ '# units Projected With Program]]-Table6[[#This Row],['# Projected units Incented by Program]]</f>
        <v>1</v>
      </c>
      <c r="H118" s="3">
        <f>Table6[[#This Row],[ '# units Projected With Program (as of March 31 2025)]]-Table6[[#This Row],[Increase in projected units ]]</f>
        <v>9</v>
      </c>
      <c r="I118" s="3">
        <v>8</v>
      </c>
      <c r="J118" s="3">
        <v>9</v>
      </c>
      <c r="K118" s="3">
        <f>Table6[[#This Row],[ '# units Projected With Program (as of March 31 2025)]]-Table6[[#This Row],['# units Projected Without Program]]</f>
        <v>8</v>
      </c>
      <c r="L118" s="3"/>
      <c r="M118" s="3">
        <v>542659.69999999995</v>
      </c>
      <c r="O118"/>
    </row>
    <row r="119" spans="1:15" x14ac:dyDescent="0.35">
      <c r="A119" t="s">
        <v>164</v>
      </c>
      <c r="B119" t="s">
        <v>146</v>
      </c>
      <c r="C119" t="s">
        <v>17</v>
      </c>
      <c r="D119" t="s">
        <v>11</v>
      </c>
      <c r="E119" s="1" t="s">
        <v>27</v>
      </c>
      <c r="F119" s="2">
        <v>1066234</v>
      </c>
      <c r="G119" s="3">
        <f>Table6[[#This Row],[ '# units Projected With Program]]-Table6[[#This Row],['# Projected units Incented by Program]]</f>
        <v>18</v>
      </c>
      <c r="H119" s="3">
        <f>Table6[[#This Row],[ '# units Projected With Program (as of March 31 2025)]]-Table6[[#This Row],[Increase in projected units ]]</f>
        <v>36</v>
      </c>
      <c r="I119" s="3">
        <v>18</v>
      </c>
      <c r="J119" s="3">
        <v>36</v>
      </c>
      <c r="K119" s="3">
        <f>Table6[[#This Row],[ '# units Projected With Program (as of March 31 2025)]]-Table6[[#This Row],['# units Projected Without Program]]</f>
        <v>18</v>
      </c>
      <c r="L119" s="3"/>
      <c r="M119" s="3">
        <v>1066233.6000000001</v>
      </c>
      <c r="O119"/>
    </row>
    <row r="120" spans="1:15" x14ac:dyDescent="0.35">
      <c r="A120" t="s">
        <v>165</v>
      </c>
      <c r="B120" t="s">
        <v>146</v>
      </c>
      <c r="C120" t="s">
        <v>17</v>
      </c>
      <c r="D120" t="s">
        <v>11</v>
      </c>
      <c r="E120" s="1" t="s">
        <v>64</v>
      </c>
      <c r="F120" s="2">
        <v>500457</v>
      </c>
      <c r="G120" s="3">
        <f>Table6[[#This Row],[ '# units Projected With Program]]-Table6[[#This Row],['# Projected units Incented by Program]]</f>
        <v>1</v>
      </c>
      <c r="H120" s="3">
        <f>Table6[[#This Row],[ '# units Projected With Program (as of March 31 2025)]]-Table6[[#This Row],[Increase in projected units ]]</f>
        <v>9</v>
      </c>
      <c r="I120" s="3">
        <v>8</v>
      </c>
      <c r="J120" s="3">
        <v>9</v>
      </c>
      <c r="K120" s="3">
        <f>Table6[[#This Row],[ '# units Projected With Program (as of March 31 2025)]]-Table6[[#This Row],['# units Projected Without Program]]</f>
        <v>8</v>
      </c>
      <c r="L120" s="3"/>
      <c r="M120" s="3">
        <v>500456.9</v>
      </c>
      <c r="O120"/>
    </row>
    <row r="121" spans="1:15" x14ac:dyDescent="0.35">
      <c r="A121" t="s">
        <v>166</v>
      </c>
      <c r="B121" t="s">
        <v>146</v>
      </c>
      <c r="C121" t="s">
        <v>17</v>
      </c>
      <c r="D121" t="s">
        <v>11</v>
      </c>
      <c r="E121" s="1">
        <v>45293</v>
      </c>
      <c r="F121" s="2">
        <v>770991</v>
      </c>
      <c r="G121" s="3">
        <f>Table6[[#This Row],[ '# units Projected With Program]]-Table6[[#This Row],['# Projected units Incented by Program]]</f>
        <v>2</v>
      </c>
      <c r="H121" s="3">
        <f>Table6[[#This Row],[ '# units Projected With Program (as of March 31 2025)]]-Table6[[#This Row],[Increase in projected units ]]</f>
        <v>15</v>
      </c>
      <c r="I121" s="3">
        <v>13</v>
      </c>
      <c r="J121" s="3">
        <v>15</v>
      </c>
      <c r="K121" s="3">
        <f>Table6[[#This Row],[ '# units Projected With Program (as of March 31 2025)]]-Table6[[#This Row],['# units Projected Without Program]]</f>
        <v>13</v>
      </c>
      <c r="L121" s="3"/>
      <c r="M121" s="3">
        <v>770990.5</v>
      </c>
      <c r="O121"/>
    </row>
    <row r="122" spans="1:15" x14ac:dyDescent="0.35">
      <c r="A122" t="s">
        <v>167</v>
      </c>
      <c r="B122" t="s">
        <v>146</v>
      </c>
      <c r="C122" t="s">
        <v>17</v>
      </c>
      <c r="D122" t="s">
        <v>11</v>
      </c>
      <c r="E122" s="1" t="s">
        <v>64</v>
      </c>
      <c r="F122" s="2">
        <v>1108321</v>
      </c>
      <c r="G122" s="3">
        <f>Table6[[#This Row],[ '# units Projected With Program]]-Table6[[#This Row],['# Projected units Incented by Program]]</f>
        <v>12</v>
      </c>
      <c r="H122" s="3">
        <f>Table6[[#This Row],[ '# units Projected With Program (as of March 31 2025)]]-Table6[[#This Row],[Increase in projected units ]]</f>
        <v>28</v>
      </c>
      <c r="I122" s="3">
        <v>16</v>
      </c>
      <c r="J122" s="3">
        <v>28</v>
      </c>
      <c r="K122" s="3">
        <f>Table6[[#This Row],[ '# units Projected With Program (as of March 31 2025)]]-Table6[[#This Row],['# units Projected Without Program]]</f>
        <v>16</v>
      </c>
      <c r="L122" s="3"/>
      <c r="M122" s="3">
        <v>1108320.8</v>
      </c>
      <c r="O122"/>
    </row>
    <row r="123" spans="1:15" x14ac:dyDescent="0.35">
      <c r="A123" t="s">
        <v>168</v>
      </c>
      <c r="B123" t="s">
        <v>146</v>
      </c>
      <c r="C123" t="s">
        <v>17</v>
      </c>
      <c r="D123" t="s">
        <v>11</v>
      </c>
      <c r="E123" s="1" t="s">
        <v>106</v>
      </c>
      <c r="F123" s="2">
        <v>948864</v>
      </c>
      <c r="G123" s="3">
        <f>Table6[[#This Row],[ '# units Projected With Program]]-Table6[[#This Row],['# Projected units Incented by Program]]</f>
        <v>4</v>
      </c>
      <c r="H123" s="3">
        <f>Table6[[#This Row],[ '# units Projected With Program (as of March 31 2025)]]-Table6[[#This Row],[Increase in projected units ]]</f>
        <v>18</v>
      </c>
      <c r="I123" s="3">
        <v>14</v>
      </c>
      <c r="J123" s="3">
        <v>18</v>
      </c>
      <c r="K123" s="3">
        <f>Table6[[#This Row],[ '# units Projected With Program (as of March 31 2025)]]-Table6[[#This Row],['# units Projected Without Program]]</f>
        <v>14</v>
      </c>
      <c r="L123" s="3"/>
      <c r="M123" s="3">
        <v>948863.6</v>
      </c>
      <c r="O123"/>
    </row>
    <row r="124" spans="1:15" x14ac:dyDescent="0.35">
      <c r="A124" t="s">
        <v>169</v>
      </c>
      <c r="B124" t="s">
        <v>170</v>
      </c>
      <c r="C124" t="s">
        <v>17</v>
      </c>
      <c r="D124" t="s">
        <v>18</v>
      </c>
      <c r="E124" s="1" t="s">
        <v>22</v>
      </c>
      <c r="F124" s="2">
        <v>2414000</v>
      </c>
      <c r="G124" s="3">
        <f>Table6[[#This Row],[ '# units Projected With Program]]-Table6[[#This Row],['# Projected units Incented by Program]]</f>
        <v>3</v>
      </c>
      <c r="H124" s="3">
        <f>Table6[[#This Row],[ '# units Projected With Program (as of March 31 2025)]]-Table6[[#This Row],[Increase in projected units ]]</f>
        <v>37</v>
      </c>
      <c r="I124" s="3">
        <v>34</v>
      </c>
      <c r="J124" s="3">
        <v>37</v>
      </c>
      <c r="K124" s="3">
        <f>Table6[[#This Row],[ '# units Projected With Program (as of March 31 2025)]]-Table6[[#This Row],['# units Projected Without Program]]</f>
        <v>34</v>
      </c>
      <c r="L124" s="3"/>
      <c r="M124" s="3">
        <v>2414000</v>
      </c>
      <c r="O124"/>
    </row>
    <row r="125" spans="1:15" x14ac:dyDescent="0.35">
      <c r="A125" t="s">
        <v>171</v>
      </c>
      <c r="B125" t="s">
        <v>170</v>
      </c>
      <c r="C125" t="s">
        <v>10</v>
      </c>
      <c r="D125" t="s">
        <v>11</v>
      </c>
      <c r="E125" s="1">
        <v>45209</v>
      </c>
      <c r="F125" s="2">
        <v>114540500</v>
      </c>
      <c r="G125" s="3">
        <f>Table6[[#This Row],[ '# units Projected With Program]]-Table6[[#This Row],['# Projected units Incented by Program]]</f>
        <v>13500</v>
      </c>
      <c r="H125" s="3">
        <f>Table6[[#This Row],[ '# units Projected With Program (as of March 31 2025)]]-Table6[[#This Row],[Increase in projected units ]]</f>
        <v>16650</v>
      </c>
      <c r="I125" s="3">
        <v>3150</v>
      </c>
      <c r="J125" s="3">
        <v>16650</v>
      </c>
      <c r="K125" s="3">
        <f>Table6[[#This Row],[ '# units Projected With Program (as of March 31 2025)]]-Table6[[#This Row],['# units Projected Without Program]]</f>
        <v>3150</v>
      </c>
      <c r="L125" s="3"/>
      <c r="M125" s="3">
        <v>114540500</v>
      </c>
      <c r="O125"/>
    </row>
    <row r="126" spans="1:15" x14ac:dyDescent="0.35">
      <c r="A126" t="s">
        <v>172</v>
      </c>
      <c r="B126" t="s">
        <v>170</v>
      </c>
      <c r="C126" t="s">
        <v>10</v>
      </c>
      <c r="D126" t="s">
        <v>11</v>
      </c>
      <c r="E126" s="1">
        <v>45475</v>
      </c>
      <c r="F126" s="2">
        <v>25684990</v>
      </c>
      <c r="G126" s="3">
        <f>Table6[[#This Row],[ '# units Projected With Program]]-Table6[[#This Row],['# Projected units Incented by Program]]</f>
        <v>6137</v>
      </c>
      <c r="H126" s="3">
        <f>Table6[[#This Row],[ '# units Projected With Program (as of March 31 2025)]]-Table6[[#This Row],[Increase in projected units ]]</f>
        <v>6825</v>
      </c>
      <c r="I126" s="3">
        <v>688</v>
      </c>
      <c r="J126" s="3">
        <v>6825</v>
      </c>
      <c r="K126" s="3">
        <f>Table6[[#This Row],[ '# units Projected With Program (as of March 31 2025)]]-Table6[[#This Row],['# units Projected Without Program]]</f>
        <v>688</v>
      </c>
      <c r="L126" s="3"/>
      <c r="M126" s="3">
        <v>25684990</v>
      </c>
      <c r="O126"/>
    </row>
    <row r="127" spans="1:15" x14ac:dyDescent="0.35">
      <c r="A127" t="s">
        <v>173</v>
      </c>
      <c r="B127" t="s">
        <v>170</v>
      </c>
      <c r="C127" t="s">
        <v>10</v>
      </c>
      <c r="D127" t="s">
        <v>11</v>
      </c>
      <c r="E127" s="1" t="s">
        <v>46</v>
      </c>
      <c r="F127" s="2">
        <v>13347095</v>
      </c>
      <c r="G127" s="3">
        <f>Table6[[#This Row],[ '# units Projected With Program]]-Table6[[#This Row],['# Projected units Incented by Program]]</f>
        <v>2615</v>
      </c>
      <c r="H127" s="3">
        <f>Table6[[#This Row],[ '# units Projected With Program (as of March 31 2025)]]-Table6[[#This Row],[Increase in projected units ]]</f>
        <v>2972</v>
      </c>
      <c r="I127" s="3">
        <v>357</v>
      </c>
      <c r="J127" s="3">
        <v>2972</v>
      </c>
      <c r="K127" s="3">
        <f>Table6[[#This Row],[ '# units Projected With Program (as of March 31 2025)]]-Table6[[#This Row],['# units Projected Without Program]]</f>
        <v>357</v>
      </c>
      <c r="L127" s="3"/>
      <c r="M127" s="3">
        <v>13347095.199999999</v>
      </c>
      <c r="O127"/>
    </row>
    <row r="128" spans="1:15" x14ac:dyDescent="0.35">
      <c r="A128" t="s">
        <v>174</v>
      </c>
      <c r="B128" t="s">
        <v>170</v>
      </c>
      <c r="C128" t="s">
        <v>10</v>
      </c>
      <c r="D128" t="s">
        <v>11</v>
      </c>
      <c r="E128" s="1">
        <v>45272</v>
      </c>
      <c r="F128" s="2">
        <v>27550302</v>
      </c>
      <c r="G128" s="3">
        <f>Table6[[#This Row],[ '# units Projected With Program]]-Table6[[#This Row],['# Projected units Incented by Program]]</f>
        <v>3850</v>
      </c>
      <c r="H128" s="3">
        <f>Table6[[#This Row],[ '# units Projected With Program (as of March 31 2025)]]-Table6[[#This Row],[Increase in projected units ]]</f>
        <v>4740</v>
      </c>
      <c r="I128" s="3">
        <v>890</v>
      </c>
      <c r="J128" s="3">
        <v>4740</v>
      </c>
      <c r="K128" s="3">
        <f>Table6[[#This Row],[ '# units Projected With Program (as of March 31 2025)]]-Table6[[#This Row],['# units Projected Without Program]]</f>
        <v>890</v>
      </c>
      <c r="L128" s="3"/>
      <c r="M128" s="3">
        <v>27550302</v>
      </c>
      <c r="O128"/>
    </row>
    <row r="129" spans="1:15" x14ac:dyDescent="0.35">
      <c r="A129" t="s">
        <v>175</v>
      </c>
      <c r="B129" t="s">
        <v>170</v>
      </c>
      <c r="C129" t="s">
        <v>10</v>
      </c>
      <c r="D129" t="s">
        <v>11</v>
      </c>
      <c r="E129" s="1">
        <v>45414</v>
      </c>
      <c r="F129" s="2">
        <v>20784060</v>
      </c>
      <c r="G129" s="3">
        <f>Table6[[#This Row],[ '# units Projected With Program]]-Table6[[#This Row],['# Projected units Incented by Program]]</f>
        <v>1043</v>
      </c>
      <c r="H129" s="3">
        <f>Table6[[#This Row],[ '# units Projected With Program (as of March 31 2025)]]-Table6[[#This Row],[Increase in projected units ]]</f>
        <v>1691</v>
      </c>
      <c r="I129" s="3">
        <v>648</v>
      </c>
      <c r="J129" s="3">
        <v>1755</v>
      </c>
      <c r="K129" s="3">
        <f>Table6[[#This Row],[ '# units Projected With Program (as of March 31 2025)]]-Table6[[#This Row],['# units Projected Without Program]]</f>
        <v>712</v>
      </c>
      <c r="L129" s="3">
        <v>64</v>
      </c>
      <c r="M129" s="3">
        <v>22861059.5</v>
      </c>
      <c r="O129"/>
    </row>
    <row r="130" spans="1:15" x14ac:dyDescent="0.35">
      <c r="A130" t="s">
        <v>176</v>
      </c>
      <c r="B130" t="s">
        <v>170</v>
      </c>
      <c r="C130" t="s">
        <v>10</v>
      </c>
      <c r="D130" t="s">
        <v>11</v>
      </c>
      <c r="E130" s="1">
        <v>45505</v>
      </c>
      <c r="F130" s="2">
        <v>21426140</v>
      </c>
      <c r="G130" s="3">
        <f>Table6[[#This Row],[ '# units Projected With Program]]-Table6[[#This Row],['# Projected units Incented by Program]]</f>
        <v>2918</v>
      </c>
      <c r="H130" s="3">
        <f>Table6[[#This Row],[ '# units Projected With Program (as of March 31 2025)]]-Table6[[#This Row],[Increase in projected units ]]</f>
        <v>3657</v>
      </c>
      <c r="I130" s="3">
        <v>739</v>
      </c>
      <c r="J130" s="3">
        <v>3657</v>
      </c>
      <c r="K130" s="3">
        <f>Table6[[#This Row],[ '# units Projected With Program (as of March 31 2025)]]-Table6[[#This Row],['# units Projected Without Program]]</f>
        <v>739</v>
      </c>
      <c r="L130" s="3"/>
      <c r="M130" s="3">
        <v>21426140.199999999</v>
      </c>
      <c r="O130"/>
    </row>
    <row r="131" spans="1:15" x14ac:dyDescent="0.35">
      <c r="A131" t="s">
        <v>177</v>
      </c>
      <c r="B131" t="s">
        <v>170</v>
      </c>
      <c r="C131" t="s">
        <v>10</v>
      </c>
      <c r="D131" t="s">
        <v>11</v>
      </c>
      <c r="E131" s="1">
        <v>45026</v>
      </c>
      <c r="F131" s="2">
        <v>93540000</v>
      </c>
      <c r="G131" s="3">
        <f>Table6[[#This Row],[ '# units Projected With Program]]-Table6[[#This Row],['# Projected units Incented by Program]]</f>
        <v>9227</v>
      </c>
      <c r="H131" s="3">
        <f>Table6[[#This Row],[ '# units Projected With Program (as of March 31 2025)]]-Table6[[#This Row],[Increase in projected units ]]</f>
        <v>11902</v>
      </c>
      <c r="I131" s="3">
        <v>2675</v>
      </c>
      <c r="J131" s="3">
        <v>11902</v>
      </c>
      <c r="K131" s="3">
        <f>Table6[[#This Row],[ '# units Projected With Program (as of March 31 2025)]]-Table6[[#This Row],['# units Projected Without Program]]</f>
        <v>2675</v>
      </c>
      <c r="L131" s="3"/>
      <c r="M131" s="3">
        <v>93540000</v>
      </c>
      <c r="O131"/>
    </row>
    <row r="132" spans="1:15" x14ac:dyDescent="0.35">
      <c r="A132" t="s">
        <v>178</v>
      </c>
      <c r="B132" t="s">
        <v>170</v>
      </c>
      <c r="C132" t="s">
        <v>10</v>
      </c>
      <c r="D132" t="s">
        <v>11</v>
      </c>
      <c r="E132" s="1" t="s">
        <v>179</v>
      </c>
      <c r="F132" s="2">
        <v>42420984</v>
      </c>
      <c r="G132" s="3">
        <f>Table6[[#This Row],[ '# units Projected With Program]]-Table6[[#This Row],['# Projected units Incented by Program]]</f>
        <v>8455</v>
      </c>
      <c r="H132" s="3">
        <f>Table6[[#This Row],[ '# units Projected With Program (as of March 31 2025)]]-Table6[[#This Row],[Increase in projected units ]]</f>
        <v>9671</v>
      </c>
      <c r="I132" s="3">
        <v>1216</v>
      </c>
      <c r="J132" s="3">
        <v>9769</v>
      </c>
      <c r="K132" s="3">
        <f>Table6[[#This Row],[ '# units Projected With Program (as of March 31 2025)]]-Table6[[#This Row],['# units Projected Without Program]]</f>
        <v>1314</v>
      </c>
      <c r="L132" s="3">
        <v>98</v>
      </c>
      <c r="M132" s="3">
        <v>46634984</v>
      </c>
      <c r="O132"/>
    </row>
    <row r="133" spans="1:15" x14ac:dyDescent="0.35">
      <c r="A133" t="s">
        <v>180</v>
      </c>
      <c r="B133" t="s">
        <v>170</v>
      </c>
      <c r="C133" t="s">
        <v>10</v>
      </c>
      <c r="D133" t="s">
        <v>11</v>
      </c>
      <c r="E133" s="1">
        <v>45147</v>
      </c>
      <c r="F133" s="2">
        <v>74058143</v>
      </c>
      <c r="G133" s="3">
        <f>Table6[[#This Row],[ '# units Projected With Program]]-Table6[[#This Row],['# Projected units Incented by Program]]</f>
        <v>9432</v>
      </c>
      <c r="H133" s="3">
        <f>Table6[[#This Row],[ '# units Projected With Program (as of March 31 2025)]]-Table6[[#This Row],[Increase in projected units ]]</f>
        <v>11619</v>
      </c>
      <c r="I133" s="3">
        <v>2187</v>
      </c>
      <c r="J133" s="3">
        <v>11803</v>
      </c>
      <c r="K133" s="3">
        <f>Table6[[#This Row],[ '# units Projected With Program (as of March 31 2025)]]-Table6[[#This Row],['# units Projected Without Program]]</f>
        <v>2371</v>
      </c>
      <c r="L133" s="3">
        <v>184</v>
      </c>
      <c r="M133" s="3">
        <v>81449143</v>
      </c>
      <c r="O133"/>
    </row>
    <row r="134" spans="1:15" x14ac:dyDescent="0.35">
      <c r="A134" t="s">
        <v>181</v>
      </c>
      <c r="B134" t="s">
        <v>170</v>
      </c>
      <c r="C134" t="s">
        <v>17</v>
      </c>
      <c r="D134" t="s">
        <v>18</v>
      </c>
      <c r="E134" s="1" t="s">
        <v>69</v>
      </c>
      <c r="F134" s="2">
        <v>2556000</v>
      </c>
      <c r="G134" s="3">
        <f>Table6[[#This Row],[ '# units Projected With Program]]-Table6[[#This Row],['# Projected units Incented by Program]]</f>
        <v>3</v>
      </c>
      <c r="H134" s="3">
        <f>Table6[[#This Row],[ '# units Projected With Program (as of March 31 2025)]]-Table6[[#This Row],[Increase in projected units ]]</f>
        <v>39</v>
      </c>
      <c r="I134" s="3">
        <v>36</v>
      </c>
      <c r="J134" s="3">
        <v>39</v>
      </c>
      <c r="K134" s="3">
        <f>Table6[[#This Row],[ '# units Projected With Program (as of March 31 2025)]]-Table6[[#This Row],['# units Projected Without Program]]</f>
        <v>36</v>
      </c>
      <c r="L134" s="3"/>
      <c r="M134" s="3">
        <v>2556000</v>
      </c>
      <c r="O134"/>
    </row>
    <row r="135" spans="1:15" x14ac:dyDescent="0.35">
      <c r="A135" t="s">
        <v>182</v>
      </c>
      <c r="B135" t="s">
        <v>170</v>
      </c>
      <c r="C135" t="s">
        <v>10</v>
      </c>
      <c r="D135" t="s">
        <v>11</v>
      </c>
      <c r="E135" s="1" t="s">
        <v>48</v>
      </c>
      <c r="F135" s="2">
        <v>58842625</v>
      </c>
      <c r="G135" s="3">
        <f>Table6[[#This Row],[ '# units Projected With Program]]-Table6[[#This Row],['# Projected units Incented by Program]]</f>
        <v>6075</v>
      </c>
      <c r="H135" s="3">
        <f>Table6[[#This Row],[ '# units Projected With Program (as of March 31 2025)]]-Table6[[#This Row],[Increase in projected units ]]</f>
        <v>7715</v>
      </c>
      <c r="I135" s="3">
        <v>1640</v>
      </c>
      <c r="J135" s="3">
        <v>7715</v>
      </c>
      <c r="K135" s="3">
        <f>Table6[[#This Row],[ '# units Projected With Program (as of March 31 2025)]]-Table6[[#This Row],['# units Projected Without Program]]</f>
        <v>1640</v>
      </c>
      <c r="L135" s="3"/>
      <c r="M135" s="3">
        <v>58842625</v>
      </c>
      <c r="O135"/>
    </row>
    <row r="136" spans="1:15" x14ac:dyDescent="0.35">
      <c r="A136" t="s">
        <v>183</v>
      </c>
      <c r="B136" t="s">
        <v>170</v>
      </c>
      <c r="C136" t="s">
        <v>10</v>
      </c>
      <c r="D136" t="s">
        <v>11</v>
      </c>
      <c r="E136" s="1" t="s">
        <v>184</v>
      </c>
      <c r="F136" s="2">
        <v>22418300</v>
      </c>
      <c r="G136" s="3">
        <f>Table6[[#This Row],[ '# units Projected With Program]]-Table6[[#This Row],['# Projected units Incented by Program]]</f>
        <v>3424</v>
      </c>
      <c r="H136" s="3">
        <f>Table6[[#This Row],[ '# units Projected With Program (as of March 31 2025)]]-Table6[[#This Row],[Increase in projected units ]]</f>
        <v>4225</v>
      </c>
      <c r="I136" s="3">
        <v>801</v>
      </c>
      <c r="J136" s="3">
        <v>4225</v>
      </c>
      <c r="K136" s="3">
        <f>Table6[[#This Row],[ '# units Projected With Program (as of March 31 2025)]]-Table6[[#This Row],['# units Projected Without Program]]</f>
        <v>801</v>
      </c>
      <c r="L136" s="3"/>
      <c r="M136" s="3">
        <v>22418300</v>
      </c>
      <c r="O136"/>
    </row>
    <row r="137" spans="1:15" x14ac:dyDescent="0.35">
      <c r="A137" t="s">
        <v>185</v>
      </c>
      <c r="B137" t="s">
        <v>170</v>
      </c>
      <c r="C137" t="s">
        <v>10</v>
      </c>
      <c r="D137" t="s">
        <v>11</v>
      </c>
      <c r="E137" s="1" t="s">
        <v>76</v>
      </c>
      <c r="F137" s="2">
        <v>112998131</v>
      </c>
      <c r="G137" s="3">
        <f>Table6[[#This Row],[ '# units Projected With Program]]-Table6[[#This Row],['# Projected units Incented by Program]]</f>
        <v>10534</v>
      </c>
      <c r="H137" s="3">
        <f>Table6[[#This Row],[ '# units Projected With Program (as of March 31 2025)]]-Table6[[#This Row],[Increase in projected units ]]</f>
        <v>13577</v>
      </c>
      <c r="I137" s="3">
        <v>3043</v>
      </c>
      <c r="J137" s="3">
        <v>13577</v>
      </c>
      <c r="K137" s="3">
        <f>Table6[[#This Row],[ '# units Projected With Program (as of March 31 2025)]]-Table6[[#This Row],['# units Projected Without Program]]</f>
        <v>3043</v>
      </c>
      <c r="L137" s="3"/>
      <c r="M137" s="3">
        <v>112998131</v>
      </c>
      <c r="O137"/>
    </row>
    <row r="138" spans="1:15" x14ac:dyDescent="0.35">
      <c r="A138" t="s">
        <v>186</v>
      </c>
      <c r="B138" t="s">
        <v>170</v>
      </c>
      <c r="C138" t="s">
        <v>10</v>
      </c>
      <c r="D138" t="s">
        <v>11</v>
      </c>
      <c r="E138" s="1" t="s">
        <v>22</v>
      </c>
      <c r="F138" s="2">
        <v>5234207</v>
      </c>
      <c r="G138" s="3">
        <f>Table6[[#This Row],[ '# units Projected With Program]]-Table6[[#This Row],['# Projected units Incented by Program]]</f>
        <v>501</v>
      </c>
      <c r="H138" s="3">
        <f>Table6[[#This Row],[ '# units Projected With Program (as of March 31 2025)]]-Table6[[#This Row],[Increase in projected units ]]</f>
        <v>671</v>
      </c>
      <c r="I138" s="3">
        <v>170</v>
      </c>
      <c r="J138" s="3">
        <v>671</v>
      </c>
      <c r="K138" s="3">
        <f>Table6[[#This Row],[ '# units Projected With Program (as of March 31 2025)]]-Table6[[#This Row],['# units Projected Without Program]]</f>
        <v>170</v>
      </c>
      <c r="L138" s="3"/>
      <c r="M138" s="3">
        <v>5234207</v>
      </c>
      <c r="O138"/>
    </row>
    <row r="139" spans="1:15" x14ac:dyDescent="0.35">
      <c r="A139" t="s">
        <v>187</v>
      </c>
      <c r="B139" t="s">
        <v>170</v>
      </c>
      <c r="C139" t="s">
        <v>17</v>
      </c>
      <c r="D139" t="s">
        <v>18</v>
      </c>
      <c r="E139" s="1" t="s">
        <v>46</v>
      </c>
      <c r="F139" s="2">
        <v>1704000</v>
      </c>
      <c r="G139" s="3">
        <f>Table6[[#This Row],[ '# units Projected With Program]]-Table6[[#This Row],['# Projected units Incented by Program]]</f>
        <v>12</v>
      </c>
      <c r="H139" s="3">
        <f>Table6[[#This Row],[ '# units Projected With Program (as of March 31 2025)]]-Table6[[#This Row],[Increase in projected units ]]</f>
        <v>36</v>
      </c>
      <c r="I139" s="3">
        <v>24</v>
      </c>
      <c r="J139" s="3">
        <v>36</v>
      </c>
      <c r="K139" s="3">
        <f>Table6[[#This Row],[ '# units Projected With Program (as of March 31 2025)]]-Table6[[#This Row],['# units Projected Without Program]]</f>
        <v>24</v>
      </c>
      <c r="L139" s="3"/>
      <c r="M139" s="3">
        <v>1704000</v>
      </c>
      <c r="O139"/>
    </row>
    <row r="140" spans="1:15" x14ac:dyDescent="0.35">
      <c r="A140" t="s">
        <v>188</v>
      </c>
      <c r="B140" t="s">
        <v>170</v>
      </c>
      <c r="C140" t="s">
        <v>10</v>
      </c>
      <c r="D140" t="s">
        <v>11</v>
      </c>
      <c r="E140" s="1" t="s">
        <v>35</v>
      </c>
      <c r="F140" s="2">
        <v>176323293</v>
      </c>
      <c r="G140" s="3">
        <f>Table6[[#This Row],[ '# units Projected With Program]]-Table6[[#This Row],['# Projected units Incented by Program]]</f>
        <v>33137</v>
      </c>
      <c r="H140" s="3">
        <f>Table6[[#This Row],[ '# units Projected With Program (as of March 31 2025)]]-Table6[[#This Row],[Increase in projected units ]]</f>
        <v>37586</v>
      </c>
      <c r="I140" s="3">
        <v>4449</v>
      </c>
      <c r="J140" s="3">
        <v>37586</v>
      </c>
      <c r="K140" s="3">
        <f>Table6[[#This Row],[ '# units Projected With Program (as of March 31 2025)]]-Table6[[#This Row],['# units Projected Without Program]]</f>
        <v>4449</v>
      </c>
      <c r="L140" s="3"/>
      <c r="M140" s="3">
        <v>176323293</v>
      </c>
      <c r="O140"/>
    </row>
    <row r="141" spans="1:15" x14ac:dyDescent="0.35">
      <c r="A141" t="s">
        <v>189</v>
      </c>
      <c r="B141" t="s">
        <v>170</v>
      </c>
      <c r="C141" t="s">
        <v>17</v>
      </c>
      <c r="D141" t="s">
        <v>18</v>
      </c>
      <c r="E141" s="1" t="s">
        <v>25</v>
      </c>
      <c r="F141" s="2">
        <v>531000</v>
      </c>
      <c r="G141" s="3">
        <f>Table6[[#This Row],[ '# units Projected With Program]]-Table6[[#This Row],['# Projected units Incented by Program]]</f>
        <v>8</v>
      </c>
      <c r="H141" s="3">
        <f>Table6[[#This Row],[ '# units Projected With Program (as of March 31 2025)]]-Table6[[#This Row],[Increase in projected units ]]</f>
        <v>17</v>
      </c>
      <c r="I141" s="3">
        <v>9</v>
      </c>
      <c r="J141" s="3">
        <v>17</v>
      </c>
      <c r="K141" s="3">
        <f>Table6[[#This Row],[ '# units Projected With Program (as of March 31 2025)]]-Table6[[#This Row],['# units Projected Without Program]]</f>
        <v>9</v>
      </c>
      <c r="L141" s="3"/>
      <c r="M141" s="3">
        <v>531000</v>
      </c>
      <c r="O141"/>
    </row>
    <row r="142" spans="1:15" x14ac:dyDescent="0.35">
      <c r="A142" t="s">
        <v>190</v>
      </c>
      <c r="B142" t="s">
        <v>170</v>
      </c>
      <c r="C142" t="s">
        <v>10</v>
      </c>
      <c r="D142" t="s">
        <v>11</v>
      </c>
      <c r="E142" s="1" t="s">
        <v>191</v>
      </c>
      <c r="F142" s="2">
        <v>31115380</v>
      </c>
      <c r="G142" s="3">
        <f>Table6[[#This Row],[ '# units Projected With Program]]-Table6[[#This Row],['# Projected units Incented by Program]]</f>
        <v>4032</v>
      </c>
      <c r="H142" s="3">
        <f>Table6[[#This Row],[ '# units Projected With Program (as of March 31 2025)]]-Table6[[#This Row],[Increase in projected units ]]</f>
        <v>4820</v>
      </c>
      <c r="I142" s="3">
        <v>788</v>
      </c>
      <c r="J142" s="3">
        <v>4820</v>
      </c>
      <c r="K142" s="3">
        <f>Table6[[#This Row],[ '# units Projected With Program (as of March 31 2025)]]-Table6[[#This Row],['# units Projected Without Program]]</f>
        <v>788</v>
      </c>
      <c r="L142" s="3"/>
      <c r="M142" s="3">
        <v>31115380</v>
      </c>
      <c r="O142"/>
    </row>
    <row r="143" spans="1:15" x14ac:dyDescent="0.35">
      <c r="A143" t="s">
        <v>192</v>
      </c>
      <c r="B143" t="s">
        <v>170</v>
      </c>
      <c r="C143" t="s">
        <v>17</v>
      </c>
      <c r="D143" t="s">
        <v>18</v>
      </c>
      <c r="E143" s="1" t="s">
        <v>22</v>
      </c>
      <c r="F143" s="2">
        <v>2124000</v>
      </c>
      <c r="G143" s="3">
        <f>Table6[[#This Row],[ '# units Projected With Program]]-Table6[[#This Row],['# Projected units Incented by Program]]</f>
        <v>2</v>
      </c>
      <c r="H143" s="3">
        <f>Table6[[#This Row],[ '# units Projected With Program (as of March 31 2025)]]-Table6[[#This Row],[Increase in projected units ]]</f>
        <v>38</v>
      </c>
      <c r="I143" s="3">
        <v>36</v>
      </c>
      <c r="J143" s="3">
        <v>38</v>
      </c>
      <c r="K143" s="3">
        <f>Table6[[#This Row],[ '# units Projected With Program (as of March 31 2025)]]-Table6[[#This Row],['# units Projected Without Program]]</f>
        <v>36</v>
      </c>
      <c r="L143" s="3"/>
      <c r="M143" s="3">
        <v>2124000</v>
      </c>
      <c r="O143"/>
    </row>
    <row r="144" spans="1:15" x14ac:dyDescent="0.35">
      <c r="A144" t="s">
        <v>193</v>
      </c>
      <c r="B144" t="s">
        <v>170</v>
      </c>
      <c r="C144" t="s">
        <v>10</v>
      </c>
      <c r="D144" t="s">
        <v>11</v>
      </c>
      <c r="E144" s="1">
        <v>45566</v>
      </c>
      <c r="F144" s="2">
        <v>25684484</v>
      </c>
      <c r="G144" s="3">
        <f>Table6[[#This Row],[ '# units Projected With Program]]-Table6[[#This Row],['# Projected units Incented by Program]]</f>
        <v>1684</v>
      </c>
      <c r="H144" s="3">
        <f>Table6[[#This Row],[ '# units Projected With Program (as of March 31 2025)]]-Table6[[#This Row],[Increase in projected units ]]</f>
        <v>2382</v>
      </c>
      <c r="I144" s="3">
        <v>698</v>
      </c>
      <c r="J144" s="3">
        <v>2382</v>
      </c>
      <c r="K144" s="3">
        <f>Table6[[#This Row],[ '# units Projected With Program (as of March 31 2025)]]-Table6[[#This Row],['# units Projected Without Program]]</f>
        <v>698</v>
      </c>
      <c r="L144" s="3"/>
      <c r="M144" s="3">
        <v>25684483.800000001</v>
      </c>
      <c r="O144"/>
    </row>
    <row r="145" spans="1:15" x14ac:dyDescent="0.35">
      <c r="A145" t="s">
        <v>194</v>
      </c>
      <c r="B145" t="s">
        <v>170</v>
      </c>
      <c r="C145" t="s">
        <v>10</v>
      </c>
      <c r="D145" t="s">
        <v>11</v>
      </c>
      <c r="E145" s="1">
        <v>45597</v>
      </c>
      <c r="F145" s="2">
        <v>21156285</v>
      </c>
      <c r="G145" s="3">
        <f>Table6[[#This Row],[ '# units Projected With Program]]-Table6[[#This Row],['# Projected units Incented by Program]]</f>
        <v>2106</v>
      </c>
      <c r="H145" s="3">
        <f>Table6[[#This Row],[ '# units Projected With Program (as of March 31 2025)]]-Table6[[#This Row],[Increase in projected units ]]</f>
        <v>2724</v>
      </c>
      <c r="I145" s="3">
        <v>618</v>
      </c>
      <c r="J145" s="3">
        <v>2724</v>
      </c>
      <c r="K145" s="3">
        <f>Table6[[#This Row],[ '# units Projected With Program (as of March 31 2025)]]-Table6[[#This Row],['# units Projected Without Program]]</f>
        <v>618</v>
      </c>
      <c r="L145" s="3"/>
      <c r="M145" s="3">
        <v>21156284.600000001</v>
      </c>
      <c r="O145"/>
    </row>
    <row r="146" spans="1:15" x14ac:dyDescent="0.35">
      <c r="A146" t="s">
        <v>195</v>
      </c>
      <c r="B146" t="s">
        <v>170</v>
      </c>
      <c r="C146" t="s">
        <v>10</v>
      </c>
      <c r="D146" t="s">
        <v>11</v>
      </c>
      <c r="E146" s="1" t="s">
        <v>14</v>
      </c>
      <c r="F146" s="2">
        <v>4383110</v>
      </c>
      <c r="G146" s="3">
        <f>Table6[[#This Row],[ '# units Projected With Program]]-Table6[[#This Row],['# Projected units Incented by Program]]</f>
        <v>327</v>
      </c>
      <c r="H146" s="3">
        <f>Table6[[#This Row],[ '# units Projected With Program (as of March 31 2025)]]-Table6[[#This Row],[Increase in projected units ]]</f>
        <v>464</v>
      </c>
      <c r="I146" s="3">
        <v>137</v>
      </c>
      <c r="J146" s="3">
        <v>464</v>
      </c>
      <c r="K146" s="3">
        <f>Table6[[#This Row],[ '# units Projected With Program (as of March 31 2025)]]-Table6[[#This Row],['# units Projected Without Program]]</f>
        <v>137</v>
      </c>
      <c r="L146" s="3"/>
      <c r="M146" s="3">
        <v>4383110.4000000004</v>
      </c>
      <c r="O146"/>
    </row>
    <row r="147" spans="1:15" x14ac:dyDescent="0.35">
      <c r="A147" t="s">
        <v>196</v>
      </c>
      <c r="B147" t="s">
        <v>170</v>
      </c>
      <c r="C147" t="s">
        <v>10</v>
      </c>
      <c r="D147" t="s">
        <v>11</v>
      </c>
      <c r="E147" s="1" t="s">
        <v>54</v>
      </c>
      <c r="F147" s="2">
        <v>471109960</v>
      </c>
      <c r="G147" s="3">
        <f>Table6[[#This Row],[ '# units Projected With Program]]-Table6[[#This Row],['# Projected units Incented by Program]]</f>
        <v>49200</v>
      </c>
      <c r="H147" s="3">
        <f>Table6[[#This Row],[ '# units Projected With Program (as of March 31 2025)]]-Table6[[#This Row],[Increase in projected units ]]</f>
        <v>60980</v>
      </c>
      <c r="I147" s="3">
        <v>11780</v>
      </c>
      <c r="J147" s="3">
        <v>60980</v>
      </c>
      <c r="K147" s="3">
        <f>Table6[[#This Row],[ '# units Projected With Program (as of March 31 2025)]]-Table6[[#This Row],['# units Projected Without Program]]</f>
        <v>11780</v>
      </c>
      <c r="L147" s="3"/>
      <c r="M147" s="3">
        <v>471109960</v>
      </c>
      <c r="O147"/>
    </row>
    <row r="148" spans="1:15" x14ac:dyDescent="0.35">
      <c r="A148" t="s">
        <v>197</v>
      </c>
      <c r="B148" t="s">
        <v>170</v>
      </c>
      <c r="C148" t="s">
        <v>10</v>
      </c>
      <c r="D148" t="s">
        <v>11</v>
      </c>
      <c r="E148" s="1" t="s">
        <v>184</v>
      </c>
      <c r="F148" s="2">
        <v>21976916</v>
      </c>
      <c r="G148" s="3">
        <f>Table6[[#This Row],[ '# units Projected With Program]]-Table6[[#This Row],['# Projected units Incented by Program]]</f>
        <v>3029</v>
      </c>
      <c r="H148" s="3">
        <f>Table6[[#This Row],[ '# units Projected With Program (as of March 31 2025)]]-Table6[[#This Row],[Increase in projected units ]]</f>
        <v>3613</v>
      </c>
      <c r="I148" s="3">
        <v>584</v>
      </c>
      <c r="J148" s="3">
        <v>3613</v>
      </c>
      <c r="K148" s="3">
        <f>Table6[[#This Row],[ '# units Projected With Program (as of March 31 2025)]]-Table6[[#This Row],['# units Projected Without Program]]</f>
        <v>584</v>
      </c>
      <c r="L148" s="3"/>
      <c r="M148" s="3">
        <v>21976915.600000001</v>
      </c>
      <c r="O148"/>
    </row>
    <row r="149" spans="1:15" x14ac:dyDescent="0.35">
      <c r="A149" t="s">
        <v>198</v>
      </c>
      <c r="B149" t="s">
        <v>170</v>
      </c>
      <c r="C149" t="s">
        <v>17</v>
      </c>
      <c r="D149" t="s">
        <v>11</v>
      </c>
      <c r="E149" s="1" t="s">
        <v>46</v>
      </c>
      <c r="F149" s="2">
        <v>1886886</v>
      </c>
      <c r="G149" s="3">
        <f>Table6[[#This Row],[ '# units Projected With Program]]-Table6[[#This Row],['# Projected units Incented by Program]]</f>
        <v>144</v>
      </c>
      <c r="H149" s="3">
        <f>Table6[[#This Row],[ '# units Projected With Program (as of March 31 2025)]]-Table6[[#This Row],[Increase in projected units ]]</f>
        <v>210</v>
      </c>
      <c r="I149" s="3">
        <v>66</v>
      </c>
      <c r="J149" s="3">
        <v>210</v>
      </c>
      <c r="K149" s="3">
        <f>Table6[[#This Row],[ '# units Projected With Program (as of March 31 2025)]]-Table6[[#This Row],['# units Projected Without Program]]</f>
        <v>66</v>
      </c>
      <c r="L149" s="3"/>
      <c r="M149" s="3">
        <v>1886886</v>
      </c>
      <c r="O149"/>
    </row>
    <row r="150" spans="1:15" x14ac:dyDescent="0.35">
      <c r="A150" t="s">
        <v>199</v>
      </c>
      <c r="B150" t="s">
        <v>170</v>
      </c>
      <c r="C150" t="s">
        <v>10</v>
      </c>
      <c r="D150" t="s">
        <v>11</v>
      </c>
      <c r="E150" s="1" t="s">
        <v>200</v>
      </c>
      <c r="F150" s="2">
        <v>24990435</v>
      </c>
      <c r="G150" s="3">
        <f>Table6[[#This Row],[ '# units Projected With Program]]-Table6[[#This Row],['# Projected units Incented by Program]]</f>
        <v>5279</v>
      </c>
      <c r="H150" s="3">
        <f>Table6[[#This Row],[ '# units Projected With Program (as of March 31 2025)]]-Table6[[#This Row],[Increase in projected units ]]</f>
        <v>5935</v>
      </c>
      <c r="I150" s="3">
        <v>656</v>
      </c>
      <c r="J150" s="3">
        <v>5935</v>
      </c>
      <c r="K150" s="3">
        <f>Table6[[#This Row],[ '# units Projected With Program (as of March 31 2025)]]-Table6[[#This Row],['# units Projected Without Program]]</f>
        <v>656</v>
      </c>
      <c r="L150" s="3"/>
      <c r="M150" s="3">
        <v>24990434.5</v>
      </c>
      <c r="O150"/>
    </row>
    <row r="151" spans="1:15" x14ac:dyDescent="0.35">
      <c r="A151" t="s">
        <v>201</v>
      </c>
      <c r="B151" t="s">
        <v>170</v>
      </c>
      <c r="C151" t="s">
        <v>10</v>
      </c>
      <c r="D151" t="s">
        <v>11</v>
      </c>
      <c r="E151" s="1">
        <v>45506</v>
      </c>
      <c r="F151" s="2">
        <v>6724742</v>
      </c>
      <c r="G151" s="3">
        <f>Table6[[#This Row],[ '# units Projected With Program]]-Table6[[#This Row],['# Projected units Incented by Program]]</f>
        <v>696</v>
      </c>
      <c r="H151" s="3">
        <f>Table6[[#This Row],[ '# units Projected With Program (as of March 31 2025)]]-Table6[[#This Row],[Increase in projected units ]]</f>
        <v>886</v>
      </c>
      <c r="I151" s="3">
        <v>190</v>
      </c>
      <c r="J151" s="3">
        <v>886</v>
      </c>
      <c r="K151" s="3">
        <f>Table6[[#This Row],[ '# units Projected With Program (as of March 31 2025)]]-Table6[[#This Row],['# units Projected Without Program]]</f>
        <v>190</v>
      </c>
      <c r="L151" s="3"/>
      <c r="M151" s="3">
        <v>6724742.2000000002</v>
      </c>
      <c r="O151"/>
    </row>
    <row r="152" spans="1:15" x14ac:dyDescent="0.35">
      <c r="A152" t="s">
        <v>202</v>
      </c>
      <c r="B152" t="s">
        <v>170</v>
      </c>
      <c r="C152" t="s">
        <v>10</v>
      </c>
      <c r="D152" t="s">
        <v>11</v>
      </c>
      <c r="E152" s="1">
        <v>45026</v>
      </c>
      <c r="F152" s="2">
        <v>59153675</v>
      </c>
      <c r="G152" s="3">
        <f>Table6[[#This Row],[ '# units Projected With Program]]-Table6[[#This Row],['# Projected units Incented by Program]]</f>
        <v>8382</v>
      </c>
      <c r="H152" s="3">
        <f>Table6[[#This Row],[ '# units Projected With Program (as of March 31 2025)]]-Table6[[#This Row],[Increase in projected units ]]</f>
        <v>10113</v>
      </c>
      <c r="I152" s="3">
        <v>1731</v>
      </c>
      <c r="J152" s="3">
        <v>10113</v>
      </c>
      <c r="K152" s="3">
        <f>Table6[[#This Row],[ '# units Projected With Program (as of March 31 2025)]]-Table6[[#This Row],['# units Projected Without Program]]</f>
        <v>1731</v>
      </c>
      <c r="L152" s="3"/>
      <c r="M152" s="3">
        <v>59153675</v>
      </c>
      <c r="O152"/>
    </row>
    <row r="153" spans="1:15" x14ac:dyDescent="0.35">
      <c r="A153" t="s">
        <v>203</v>
      </c>
      <c r="B153" t="s">
        <v>170</v>
      </c>
      <c r="C153" t="s">
        <v>17</v>
      </c>
      <c r="D153" t="s">
        <v>18</v>
      </c>
      <c r="E153" s="1" t="s">
        <v>154</v>
      </c>
      <c r="F153" s="2">
        <v>1773000</v>
      </c>
      <c r="G153" s="3">
        <f>Table6[[#This Row],[ '# units Projected With Program]]-Table6[[#This Row],['# Projected units Incented by Program]]</f>
        <v>3</v>
      </c>
      <c r="H153" s="3">
        <f>Table6[[#This Row],[ '# units Projected With Program (as of March 31 2025)]]-Table6[[#This Row],[Increase in projected units ]]</f>
        <v>30</v>
      </c>
      <c r="I153" s="3">
        <v>27</v>
      </c>
      <c r="J153" s="3">
        <v>30</v>
      </c>
      <c r="K153" s="3">
        <f>Table6[[#This Row],[ '# units Projected With Program (as of March 31 2025)]]-Table6[[#This Row],['# units Projected Without Program]]</f>
        <v>27</v>
      </c>
      <c r="L153" s="3"/>
      <c r="M153" s="3">
        <v>1773000</v>
      </c>
      <c r="O153"/>
    </row>
    <row r="154" spans="1:15" x14ac:dyDescent="0.35">
      <c r="A154" t="s">
        <v>204</v>
      </c>
      <c r="B154" t="s">
        <v>170</v>
      </c>
      <c r="C154" t="s">
        <v>10</v>
      </c>
      <c r="D154" t="s">
        <v>11</v>
      </c>
      <c r="E154" s="1" t="s">
        <v>205</v>
      </c>
      <c r="F154" s="2">
        <v>22093104</v>
      </c>
      <c r="G154" s="3">
        <f>Table6[[#This Row],[ '# units Projected With Program]]-Table6[[#This Row],['# Projected units Incented by Program]]</f>
        <v>3670</v>
      </c>
      <c r="H154" s="3">
        <f>Table6[[#This Row],[ '# units Projected With Program (as of March 31 2025)]]-Table6[[#This Row],[Increase in projected units ]]</f>
        <v>4320</v>
      </c>
      <c r="I154" s="3">
        <v>650</v>
      </c>
      <c r="J154" s="3">
        <v>4345</v>
      </c>
      <c r="K154" s="3">
        <f>Table6[[#This Row],[ '# units Projected With Program (as of March 31 2025)]]-Table6[[#This Row],['# units Projected Without Program]]</f>
        <v>675</v>
      </c>
      <c r="L154" s="3">
        <v>25</v>
      </c>
      <c r="M154" s="3">
        <v>23443104</v>
      </c>
      <c r="O154"/>
    </row>
    <row r="155" spans="1:15" x14ac:dyDescent="0.35">
      <c r="A155" t="s">
        <v>206</v>
      </c>
      <c r="B155" t="s">
        <v>170</v>
      </c>
      <c r="C155" t="s">
        <v>17</v>
      </c>
      <c r="D155" t="s">
        <v>18</v>
      </c>
      <c r="E155" s="1" t="s">
        <v>69</v>
      </c>
      <c r="F155" s="2">
        <v>1065000</v>
      </c>
      <c r="G155" s="3">
        <f>Table6[[#This Row],[ '# units Projected With Program]]-Table6[[#This Row],['# Projected units Incented by Program]]</f>
        <v>18</v>
      </c>
      <c r="H155" s="3">
        <f>Table6[[#This Row],[ '# units Projected With Program (as of March 31 2025)]]-Table6[[#This Row],[Increase in projected units ]]</f>
        <v>33</v>
      </c>
      <c r="I155" s="3">
        <v>15</v>
      </c>
      <c r="J155" s="3">
        <v>33</v>
      </c>
      <c r="K155" s="3">
        <f>Table6[[#This Row],[ '# units Projected With Program (as of March 31 2025)]]-Table6[[#This Row],['# units Projected Without Program]]</f>
        <v>15</v>
      </c>
      <c r="L155" s="3"/>
      <c r="M155" s="3">
        <v>1065000</v>
      </c>
      <c r="O155"/>
    </row>
    <row r="156" spans="1:15" x14ac:dyDescent="0.35">
      <c r="A156" t="s">
        <v>207</v>
      </c>
      <c r="B156" t="s">
        <v>170</v>
      </c>
      <c r="C156" t="s">
        <v>17</v>
      </c>
      <c r="D156" t="s">
        <v>18</v>
      </c>
      <c r="E156" s="1" t="s">
        <v>22</v>
      </c>
      <c r="F156" s="2">
        <v>1420000</v>
      </c>
      <c r="G156" s="3">
        <f>Table6[[#This Row],[ '# units Projected With Program]]-Table6[[#This Row],['# Projected units Incented by Program]]</f>
        <v>5</v>
      </c>
      <c r="H156" s="3">
        <f>Table6[[#This Row],[ '# units Projected With Program (as of March 31 2025)]]-Table6[[#This Row],[Increase in projected units ]]</f>
        <v>25</v>
      </c>
      <c r="I156" s="3">
        <v>20</v>
      </c>
      <c r="J156" s="3">
        <v>25</v>
      </c>
      <c r="K156" s="3">
        <f>Table6[[#This Row],[ '# units Projected With Program (as of March 31 2025)]]-Table6[[#This Row],['# units Projected Without Program]]</f>
        <v>20</v>
      </c>
      <c r="L156" s="3"/>
      <c r="M156" s="3">
        <v>1420000</v>
      </c>
      <c r="O156"/>
    </row>
    <row r="157" spans="1:15" x14ac:dyDescent="0.35">
      <c r="A157" t="s">
        <v>208</v>
      </c>
      <c r="B157" t="s">
        <v>170</v>
      </c>
      <c r="C157" t="s">
        <v>17</v>
      </c>
      <c r="D157" t="s">
        <v>18</v>
      </c>
      <c r="E157" s="1" t="s">
        <v>64</v>
      </c>
      <c r="F157" s="2">
        <v>1773000</v>
      </c>
      <c r="G157" s="3">
        <f>Table6[[#This Row],[ '# units Projected With Program]]-Table6[[#This Row],['# Projected units Incented by Program]]</f>
        <v>3</v>
      </c>
      <c r="H157" s="3">
        <f>Table6[[#This Row],[ '# units Projected With Program (as of March 31 2025)]]-Table6[[#This Row],[Increase in projected units ]]</f>
        <v>30</v>
      </c>
      <c r="I157" s="3">
        <v>27</v>
      </c>
      <c r="J157" s="3">
        <v>30</v>
      </c>
      <c r="K157" s="3">
        <f>Table6[[#This Row],[ '# units Projected With Program (as of March 31 2025)]]-Table6[[#This Row],['# units Projected Without Program]]</f>
        <v>27</v>
      </c>
      <c r="L157" s="3"/>
      <c r="M157" s="3">
        <v>1773000</v>
      </c>
      <c r="O157"/>
    </row>
    <row r="158" spans="1:15" x14ac:dyDescent="0.35">
      <c r="A158" t="s">
        <v>209</v>
      </c>
      <c r="B158" t="s">
        <v>210</v>
      </c>
      <c r="C158" t="s">
        <v>10</v>
      </c>
      <c r="D158" t="s">
        <v>11</v>
      </c>
      <c r="E158" s="1" t="s">
        <v>64</v>
      </c>
      <c r="F158" s="2">
        <v>10059000</v>
      </c>
      <c r="G158" s="3">
        <f>Table6[[#This Row],[ '# units Projected With Program]]-Table6[[#This Row],['# Projected units Incented by Program]]</f>
        <v>1200</v>
      </c>
      <c r="H158" s="3">
        <f>Table6[[#This Row],[ '# units Projected With Program (as of March 31 2025)]]-Table6[[#This Row],[Increase in projected units ]]</f>
        <v>1500</v>
      </c>
      <c r="I158" s="3">
        <v>300</v>
      </c>
      <c r="J158" s="3">
        <v>1500</v>
      </c>
      <c r="K158" s="3">
        <f>Table6[[#This Row],[ '# units Projected With Program (as of March 31 2025)]]-Table6[[#This Row],['# units Projected Without Program]]</f>
        <v>300</v>
      </c>
      <c r="L158" s="3"/>
      <c r="M158" s="3">
        <v>10059000</v>
      </c>
      <c r="O158"/>
    </row>
    <row r="159" spans="1:15" x14ac:dyDescent="0.35">
      <c r="A159" t="s">
        <v>211</v>
      </c>
      <c r="B159" t="s">
        <v>210</v>
      </c>
      <c r="C159" t="s">
        <v>10</v>
      </c>
      <c r="D159" t="s">
        <v>11</v>
      </c>
      <c r="E159" s="1">
        <v>45119</v>
      </c>
      <c r="F159" s="2">
        <v>5765485</v>
      </c>
      <c r="G159" s="3">
        <f>Table6[[#This Row],[ '# units Projected With Program]]-Table6[[#This Row],['# Projected units Incented by Program]]</f>
        <v>545</v>
      </c>
      <c r="H159" s="3">
        <f>Table6[[#This Row],[ '# units Projected With Program (as of March 31 2025)]]-Table6[[#This Row],[Increase in projected units ]]</f>
        <v>677</v>
      </c>
      <c r="I159" s="3">
        <v>132</v>
      </c>
      <c r="J159" s="3">
        <v>677</v>
      </c>
      <c r="K159" s="3">
        <f>Table6[[#This Row],[ '# units Projected With Program (as of March 31 2025)]]-Table6[[#This Row],['# units Projected Without Program]]</f>
        <v>132</v>
      </c>
      <c r="L159" s="3"/>
      <c r="M159" s="3">
        <v>5765484.5</v>
      </c>
      <c r="O159"/>
    </row>
    <row r="160" spans="1:15" x14ac:dyDescent="0.35">
      <c r="A160" t="s">
        <v>212</v>
      </c>
      <c r="B160" t="s">
        <v>210</v>
      </c>
      <c r="C160" t="s">
        <v>17</v>
      </c>
      <c r="D160" t="s">
        <v>11</v>
      </c>
      <c r="E160" s="1" t="s">
        <v>25</v>
      </c>
      <c r="F160" s="2">
        <v>478979</v>
      </c>
      <c r="G160" s="3">
        <f>Table6[[#This Row],[ '# units Projected With Program]]-Table6[[#This Row],['# Projected units Incented by Program]]</f>
        <v>45</v>
      </c>
      <c r="H160" s="3">
        <f>Table6[[#This Row],[ '# units Projected With Program (as of March 31 2025)]]-Table6[[#This Row],[Increase in projected units ]]</f>
        <v>57</v>
      </c>
      <c r="I160" s="3">
        <v>12</v>
      </c>
      <c r="J160" s="3">
        <v>57</v>
      </c>
      <c r="K160" s="3">
        <f>Table6[[#This Row],[ '# units Projected With Program (as of March 31 2025)]]-Table6[[#This Row],['# units Projected Without Program]]</f>
        <v>12</v>
      </c>
      <c r="L160" s="3"/>
      <c r="M160" s="3">
        <v>478979.1</v>
      </c>
      <c r="O160"/>
    </row>
    <row r="161" spans="1:15" x14ac:dyDescent="0.35">
      <c r="A161" t="s">
        <v>213</v>
      </c>
      <c r="B161" t="s">
        <v>210</v>
      </c>
      <c r="C161" t="s">
        <v>17</v>
      </c>
      <c r="D161" t="s">
        <v>11</v>
      </c>
      <c r="E161" s="1" t="s">
        <v>46</v>
      </c>
      <c r="F161" s="2">
        <v>4260658</v>
      </c>
      <c r="G161" s="3">
        <f>Table6[[#This Row],[ '# units Projected With Program]]-Table6[[#This Row],['# Projected units Incented by Program]]</f>
        <v>344</v>
      </c>
      <c r="H161" s="3">
        <f>Table6[[#This Row],[ '# units Projected With Program (as of March 31 2025)]]-Table6[[#This Row],[Increase in projected units ]]</f>
        <v>486</v>
      </c>
      <c r="I161" s="3">
        <v>142</v>
      </c>
      <c r="J161" s="3">
        <v>486</v>
      </c>
      <c r="K161" s="3">
        <f>Table6[[#This Row],[ '# units Projected With Program (as of March 31 2025)]]-Table6[[#This Row],['# units Projected Without Program]]</f>
        <v>142</v>
      </c>
      <c r="L161" s="3"/>
      <c r="M161" s="3">
        <v>4260658</v>
      </c>
      <c r="O161"/>
    </row>
    <row r="162" spans="1:15" x14ac:dyDescent="0.35">
      <c r="A162" t="s">
        <v>214</v>
      </c>
      <c r="B162" t="s">
        <v>210</v>
      </c>
      <c r="C162" t="s">
        <v>17</v>
      </c>
      <c r="D162" t="s">
        <v>11</v>
      </c>
      <c r="E162" s="1" t="s">
        <v>64</v>
      </c>
      <c r="F162" s="2">
        <v>590983</v>
      </c>
      <c r="G162" s="3">
        <f>Table6[[#This Row],[ '# units Projected With Program]]-Table6[[#This Row],['# Projected units Incented by Program]]</f>
        <v>12</v>
      </c>
      <c r="H162" s="3">
        <f>Table6[[#This Row],[ '# units Projected With Program (as of March 31 2025)]]-Table6[[#This Row],[Increase in projected units ]]</f>
        <v>27</v>
      </c>
      <c r="I162" s="3">
        <v>15</v>
      </c>
      <c r="J162" s="3">
        <v>27</v>
      </c>
      <c r="K162" s="3">
        <f>Table6[[#This Row],[ '# units Projected With Program (as of March 31 2025)]]-Table6[[#This Row],['# units Projected Without Program]]</f>
        <v>15</v>
      </c>
      <c r="L162" s="3"/>
      <c r="M162" s="3">
        <v>590982.9</v>
      </c>
      <c r="O162"/>
    </row>
    <row r="163" spans="1:15" x14ac:dyDescent="0.35">
      <c r="A163" t="s">
        <v>215</v>
      </c>
      <c r="B163" t="s">
        <v>210</v>
      </c>
      <c r="C163" t="s">
        <v>17</v>
      </c>
      <c r="D163" t="s">
        <v>11</v>
      </c>
      <c r="E163" s="1" t="s">
        <v>25</v>
      </c>
      <c r="F163" s="2">
        <v>3472000</v>
      </c>
      <c r="G163" s="3">
        <f>Table6[[#This Row],[ '# units Projected With Program]]-Table6[[#This Row],['# Projected units Incented by Program]]</f>
        <v>159</v>
      </c>
      <c r="H163" s="3">
        <f>Table6[[#This Row],[ '# units Projected With Program (as of March 31 2025)]]-Table6[[#This Row],[Increase in projected units ]]</f>
        <v>275</v>
      </c>
      <c r="I163" s="3">
        <v>116</v>
      </c>
      <c r="J163" s="3">
        <v>275</v>
      </c>
      <c r="K163" s="3">
        <f>Table6[[#This Row],[ '# units Projected With Program (as of March 31 2025)]]-Table6[[#This Row],['# units Projected Without Program]]</f>
        <v>116</v>
      </c>
      <c r="L163" s="3"/>
      <c r="M163" s="3">
        <v>3472000</v>
      </c>
      <c r="O163"/>
    </row>
    <row r="164" spans="1:15" x14ac:dyDescent="0.35">
      <c r="A164" t="s">
        <v>243</v>
      </c>
      <c r="B164" t="s">
        <v>210</v>
      </c>
      <c r="C164" t="s">
        <v>10</v>
      </c>
      <c r="D164" t="s">
        <v>11</v>
      </c>
      <c r="E164" s="1">
        <v>45537</v>
      </c>
      <c r="F164" s="2">
        <v>4991477</v>
      </c>
      <c r="G164" s="3">
        <f>Table6[[#This Row],[ '# units Projected With Program]]-Table6[[#This Row],['# Projected units Incented by Program]]</f>
        <v>509</v>
      </c>
      <c r="H164" s="3">
        <f>Table6[[#This Row],[ '# units Projected With Program (as of March 31 2025)]]-Table6[[#This Row],[Increase in projected units ]]</f>
        <v>687</v>
      </c>
      <c r="I164" s="3">
        <v>178</v>
      </c>
      <c r="J164" s="3">
        <v>687</v>
      </c>
      <c r="K164" s="3">
        <f>Table6[[#This Row],[ '# units Projected With Program (as of March 31 2025)]]-Table6[[#This Row],['# units Projected Without Program]]</f>
        <v>178</v>
      </c>
      <c r="L164" s="3"/>
      <c r="M164" s="3">
        <v>4991477</v>
      </c>
      <c r="O164"/>
    </row>
    <row r="165" spans="1:15" x14ac:dyDescent="0.35">
      <c r="A165" t="s">
        <v>216</v>
      </c>
      <c r="B165" t="s">
        <v>217</v>
      </c>
      <c r="C165" t="s">
        <v>10</v>
      </c>
      <c r="D165" t="s">
        <v>218</v>
      </c>
      <c r="E165" s="1" t="s">
        <v>219</v>
      </c>
      <c r="F165" s="2">
        <v>900000000</v>
      </c>
      <c r="G165" s="3">
        <f>Table6[[#This Row],[ '# units Projected With Program]]-Table6[[#This Row],['# Projected units Incented by Program]]</f>
        <v>0</v>
      </c>
      <c r="H165" s="3">
        <f>Table6[[#This Row],[ '# units Projected With Program (as of March 31 2025)]]-Table6[[#This Row],[Increase in projected units ]]</f>
        <v>23000</v>
      </c>
      <c r="I165" s="3">
        <v>23000</v>
      </c>
      <c r="J165" s="3">
        <v>23000</v>
      </c>
      <c r="K165" s="3">
        <f>Table6[[#This Row],[ '# units Projected With Program (as of March 31 2025)]]-Table6[[#This Row],['# units Projected Without Program]]</f>
        <v>23000</v>
      </c>
      <c r="L165" s="3"/>
      <c r="M165" s="3">
        <v>900000000</v>
      </c>
      <c r="O165"/>
    </row>
    <row r="166" spans="1:15" x14ac:dyDescent="0.35">
      <c r="A166" t="s">
        <v>220</v>
      </c>
      <c r="B166" t="s">
        <v>217</v>
      </c>
      <c r="C166" t="s">
        <v>17</v>
      </c>
      <c r="D166" t="s">
        <v>18</v>
      </c>
      <c r="E166" s="1" t="s">
        <v>48</v>
      </c>
      <c r="F166" s="2">
        <v>2982000</v>
      </c>
      <c r="G166" s="3">
        <f>Table6[[#This Row],[ '# units Projected With Program]]-Table6[[#This Row],['# Projected units Incented by Program]]</f>
        <v>15</v>
      </c>
      <c r="H166" s="3">
        <f>Table6[[#This Row],[ '# units Projected With Program (as of March 31 2025)]]-Table6[[#This Row],[Increase in projected units ]]</f>
        <v>57</v>
      </c>
      <c r="I166" s="3">
        <v>42</v>
      </c>
      <c r="J166" s="3">
        <v>57</v>
      </c>
      <c r="K166" s="3">
        <f>Table6[[#This Row],[ '# units Projected With Program (as of March 31 2025)]]-Table6[[#This Row],['# units Projected Without Program]]</f>
        <v>42</v>
      </c>
      <c r="L166" s="3"/>
      <c r="M166" s="3">
        <v>2982000</v>
      </c>
      <c r="O166"/>
    </row>
    <row r="167" spans="1:15" x14ac:dyDescent="0.35">
      <c r="A167" t="s">
        <v>221</v>
      </c>
      <c r="B167" t="s">
        <v>222</v>
      </c>
      <c r="C167" t="s">
        <v>17</v>
      </c>
      <c r="D167" t="s">
        <v>18</v>
      </c>
      <c r="E167" s="1">
        <v>45537</v>
      </c>
      <c r="F167" s="2">
        <v>1298000</v>
      </c>
      <c r="G167" s="3">
        <f>Table6[[#This Row],[ '# units Projected With Program]]-Table6[[#This Row],['# Projected units Incented by Program]]</f>
        <v>8</v>
      </c>
      <c r="H167" s="3">
        <f>Table6[[#This Row],[ '# units Projected With Program (as of March 31 2025)]]-Table6[[#This Row],[Increase in projected units ]]</f>
        <v>30</v>
      </c>
      <c r="I167" s="3">
        <v>22</v>
      </c>
      <c r="J167" s="3">
        <v>30</v>
      </c>
      <c r="K167" s="3">
        <f>Table6[[#This Row],[ '# units Projected With Program (as of March 31 2025)]]-Table6[[#This Row],['# units Projected Without Program]]</f>
        <v>22</v>
      </c>
      <c r="L167" s="3"/>
      <c r="M167" s="3">
        <v>1298000</v>
      </c>
      <c r="O167"/>
    </row>
    <row r="168" spans="1:15" x14ac:dyDescent="0.35">
      <c r="A168" t="s">
        <v>223</v>
      </c>
      <c r="B168" t="s">
        <v>222</v>
      </c>
      <c r="C168" t="s">
        <v>17</v>
      </c>
      <c r="D168" t="s">
        <v>11</v>
      </c>
      <c r="E168" s="1" t="s">
        <v>42</v>
      </c>
      <c r="F168" s="2">
        <v>2298000</v>
      </c>
      <c r="G168" s="3">
        <f>Table6[[#This Row],[ '# units Projected With Program]]-Table6[[#This Row],['# Projected units Incented by Program]]</f>
        <v>57</v>
      </c>
      <c r="H168" s="3">
        <f>Table6[[#This Row],[ '# units Projected With Program (as of March 31 2025)]]-Table6[[#This Row],[Increase in projected units ]]</f>
        <v>120</v>
      </c>
      <c r="I168" s="3">
        <v>63</v>
      </c>
      <c r="J168" s="3">
        <v>127</v>
      </c>
      <c r="K168" s="3">
        <f>Table6[[#This Row],[ '# units Projected With Program (as of March 31 2025)]]-Table6[[#This Row],['# units Projected Without Program]]</f>
        <v>70</v>
      </c>
      <c r="L168" s="3">
        <v>7</v>
      </c>
      <c r="M168" s="3">
        <v>2524000</v>
      </c>
      <c r="O168"/>
    </row>
    <row r="169" spans="1:15" x14ac:dyDescent="0.35">
      <c r="A169" t="s">
        <v>224</v>
      </c>
      <c r="B169" t="s">
        <v>222</v>
      </c>
      <c r="C169" t="s">
        <v>17</v>
      </c>
      <c r="D169" t="s">
        <v>11</v>
      </c>
      <c r="E169" s="1" t="s">
        <v>42</v>
      </c>
      <c r="F169" s="2">
        <v>907000</v>
      </c>
      <c r="G169" s="3">
        <f>Table6[[#This Row],[ '# units Projected With Program]]-Table6[[#This Row],['# Projected units Incented by Program]]</f>
        <v>13</v>
      </c>
      <c r="H169" s="3">
        <f>Table6[[#This Row],[ '# units Projected With Program (as of March 31 2025)]]-Table6[[#This Row],[Increase in projected units ]]</f>
        <v>36</v>
      </c>
      <c r="I169" s="3">
        <v>23</v>
      </c>
      <c r="J169" s="3">
        <v>36</v>
      </c>
      <c r="K169" s="3">
        <f>Table6[[#This Row],[ '# units Projected With Program (as of March 31 2025)]]-Table6[[#This Row],['# units Projected Without Program]]</f>
        <v>23</v>
      </c>
      <c r="L169" s="3"/>
      <c r="M169" s="3">
        <v>907000</v>
      </c>
      <c r="O169"/>
    </row>
    <row r="170" spans="1:15" x14ac:dyDescent="0.35">
      <c r="A170" t="s">
        <v>225</v>
      </c>
      <c r="B170" t="s">
        <v>222</v>
      </c>
      <c r="C170" t="s">
        <v>10</v>
      </c>
      <c r="D170" t="s">
        <v>11</v>
      </c>
      <c r="E170" s="1" t="s">
        <v>205</v>
      </c>
      <c r="F170" s="2">
        <v>35275000</v>
      </c>
      <c r="G170" s="3">
        <f>Table6[[#This Row],[ '# units Projected With Program]]-Table6[[#This Row],['# Projected units Incented by Program]]</f>
        <v>2772</v>
      </c>
      <c r="H170" s="3">
        <f>Table6[[#This Row],[ '# units Projected With Program (as of March 31 2025)]]-Table6[[#This Row],[Increase in projected units ]]</f>
        <v>3842</v>
      </c>
      <c r="I170" s="3">
        <v>1070</v>
      </c>
      <c r="J170" s="3">
        <v>3842</v>
      </c>
      <c r="K170" s="3">
        <f>Table6[[#This Row],[ '# units Projected With Program (as of March 31 2025)]]-Table6[[#This Row],['# units Projected Without Program]]</f>
        <v>1070</v>
      </c>
      <c r="L170" s="3"/>
      <c r="M170" s="3">
        <v>35275000</v>
      </c>
      <c r="O170"/>
    </row>
    <row r="171" spans="1:15" x14ac:dyDescent="0.35">
      <c r="A171" t="s">
        <v>226</v>
      </c>
      <c r="B171" t="s">
        <v>222</v>
      </c>
      <c r="C171" t="s">
        <v>10</v>
      </c>
      <c r="D171" t="s">
        <v>11</v>
      </c>
      <c r="E171" s="1" t="s">
        <v>35</v>
      </c>
      <c r="F171" s="2">
        <v>41325000</v>
      </c>
      <c r="G171" s="3">
        <f>Table6[[#This Row],[ '# units Projected With Program]]-Table6[[#This Row],['# Projected units Incented by Program]]</f>
        <v>4975</v>
      </c>
      <c r="H171" s="3">
        <f>Table6[[#This Row],[ '# units Projected With Program (as of March 31 2025)]]-Table6[[#This Row],[Increase in projected units ]]</f>
        <v>5915</v>
      </c>
      <c r="I171" s="3">
        <v>940</v>
      </c>
      <c r="J171" s="3">
        <v>5915</v>
      </c>
      <c r="K171" s="3">
        <f>Table6[[#This Row],[ '# units Projected With Program (as of March 31 2025)]]-Table6[[#This Row],['# units Projected Without Program]]</f>
        <v>940</v>
      </c>
      <c r="L171" s="3"/>
      <c r="M171" s="3">
        <v>41325000</v>
      </c>
      <c r="O171"/>
    </row>
    <row r="172" spans="1:15" x14ac:dyDescent="0.35">
      <c r="A172" t="s">
        <v>227</v>
      </c>
      <c r="B172" t="s">
        <v>222</v>
      </c>
      <c r="C172" t="s">
        <v>17</v>
      </c>
      <c r="D172" t="s">
        <v>11</v>
      </c>
      <c r="E172" s="1" t="s">
        <v>228</v>
      </c>
      <c r="F172" s="2">
        <v>992000</v>
      </c>
      <c r="G172" s="3">
        <f>Table6[[#This Row],[ '# units Projected With Program]]-Table6[[#This Row],['# Projected units Incented by Program]]</f>
        <v>7</v>
      </c>
      <c r="H172" s="3">
        <f>Table6[[#This Row],[ '# units Projected With Program (as of March 31 2025)]]-Table6[[#This Row],[Increase in projected units ]]</f>
        <v>43</v>
      </c>
      <c r="I172" s="3">
        <v>36</v>
      </c>
      <c r="J172" s="3">
        <v>43</v>
      </c>
      <c r="K172" s="3">
        <f>Table6[[#This Row],[ '# units Projected With Program (as of March 31 2025)]]-Table6[[#This Row],['# units Projected Without Program]]</f>
        <v>36</v>
      </c>
      <c r="L172" s="3"/>
      <c r="M172" s="3">
        <v>992000</v>
      </c>
      <c r="O172"/>
    </row>
    <row r="173" spans="1:15" x14ac:dyDescent="0.35">
      <c r="A173" t="s">
        <v>229</v>
      </c>
      <c r="B173" t="s">
        <v>230</v>
      </c>
      <c r="C173" t="s">
        <v>17</v>
      </c>
      <c r="D173" t="s">
        <v>11</v>
      </c>
      <c r="E173" s="1">
        <v>45536</v>
      </c>
      <c r="F173" s="2">
        <v>2367074</v>
      </c>
      <c r="G173" s="3">
        <f>Table6[[#This Row],[ '# units Projected With Program]]-Table6[[#This Row],['# Projected units Incented by Program]]</f>
        <v>36</v>
      </c>
      <c r="H173" s="3">
        <f>Table6[[#This Row],[ '# units Projected With Program (as of March 31 2025)]]-Table6[[#This Row],[Increase in projected units ]]</f>
        <v>72</v>
      </c>
      <c r="I173" s="3">
        <v>36</v>
      </c>
      <c r="J173" s="3">
        <v>72</v>
      </c>
      <c r="K173" s="3">
        <f>Table6[[#This Row],[ '# units Projected With Program (as of March 31 2025)]]-Table6[[#This Row],['# units Projected Without Program]]</f>
        <v>36</v>
      </c>
      <c r="L173" s="3"/>
      <c r="M173" s="3">
        <v>2367074.4</v>
      </c>
      <c r="O173"/>
    </row>
    <row r="174" spans="1:15" x14ac:dyDescent="0.35">
      <c r="A174" t="s">
        <v>231</v>
      </c>
      <c r="B174" t="s">
        <v>230</v>
      </c>
      <c r="C174" t="s">
        <v>17</v>
      </c>
      <c r="D174" t="s">
        <v>11</v>
      </c>
      <c r="E174" s="1" t="s">
        <v>61</v>
      </c>
      <c r="F174" s="2">
        <v>1037892</v>
      </c>
      <c r="G174" s="3">
        <f>Table6[[#This Row],[ '# units Projected With Program]]-Table6[[#This Row],['# Projected units Incented by Program]]</f>
        <v>50</v>
      </c>
      <c r="H174" s="3">
        <f>Table6[[#This Row],[ '# units Projected With Program (as of March 31 2025)]]-Table6[[#This Row],[Increase in projected units ]]</f>
        <v>68</v>
      </c>
      <c r="I174" s="3">
        <v>18</v>
      </c>
      <c r="J174" s="3">
        <v>70</v>
      </c>
      <c r="K174" s="3">
        <f>Table6[[#This Row],[ '# units Projected With Program (as of March 31 2025)]]-Table6[[#This Row],['# units Projected Without Program]]</f>
        <v>20</v>
      </c>
      <c r="L174" s="3">
        <v>2</v>
      </c>
      <c r="M174" s="3">
        <v>1155892</v>
      </c>
      <c r="O174"/>
    </row>
    <row r="175" spans="1:15" x14ac:dyDescent="0.35">
      <c r="A175" t="s">
        <v>232</v>
      </c>
      <c r="B175" t="s">
        <v>230</v>
      </c>
      <c r="C175" t="s">
        <v>17</v>
      </c>
      <c r="D175" t="s">
        <v>11</v>
      </c>
      <c r="E175" s="1">
        <v>45414</v>
      </c>
      <c r="F175" s="2">
        <v>10979945</v>
      </c>
      <c r="G175" s="3">
        <f>Table6[[#This Row],[ '# units Projected With Program]]-Table6[[#This Row],['# Projected units Incented by Program]]</f>
        <v>1300</v>
      </c>
      <c r="H175" s="3">
        <f>Table6[[#This Row],[ '# units Projected With Program (as of March 31 2025)]]-Table6[[#This Row],[Increase in projected units ]]</f>
        <v>1498</v>
      </c>
      <c r="I175" s="3">
        <v>198</v>
      </c>
      <c r="J175" s="3">
        <v>1498</v>
      </c>
      <c r="K175" s="3">
        <f>Table6[[#This Row],[ '# units Projected With Program (as of March 31 2025)]]-Table6[[#This Row],['# units Projected Without Program]]</f>
        <v>198</v>
      </c>
      <c r="L175" s="3"/>
      <c r="M175" s="3">
        <v>10979945.140000001</v>
      </c>
      <c r="O175"/>
    </row>
    <row r="176" spans="1:15" x14ac:dyDescent="0.35">
      <c r="A176" t="s">
        <v>233</v>
      </c>
      <c r="B176" t="s">
        <v>230</v>
      </c>
      <c r="C176" t="s">
        <v>17</v>
      </c>
      <c r="D176" t="s">
        <v>11</v>
      </c>
      <c r="E176" s="1">
        <v>45597</v>
      </c>
      <c r="F176" s="2">
        <v>1234637</v>
      </c>
      <c r="G176" s="3">
        <f>Table6[[#This Row],[ '# units Projected With Program]]-Table6[[#This Row],['# Projected units Incented by Program]]</f>
        <v>43</v>
      </c>
      <c r="H176" s="3">
        <f>Table6[[#This Row],[ '# units Projected With Program (as of March 31 2025)]]-Table6[[#This Row],[Increase in projected units ]]</f>
        <v>63</v>
      </c>
      <c r="I176" s="3">
        <v>20</v>
      </c>
      <c r="J176" s="3">
        <v>63</v>
      </c>
      <c r="K176" s="3">
        <f>Table6[[#This Row],[ '# units Projected With Program (as of March 31 2025)]]-Table6[[#This Row],['# units Projected Without Program]]</f>
        <v>20</v>
      </c>
      <c r="L176" s="3"/>
      <c r="M176" s="3">
        <v>1234637.1000000001</v>
      </c>
      <c r="O176"/>
    </row>
    <row r="177" spans="1:15" x14ac:dyDescent="0.35">
      <c r="A177" t="s">
        <v>234</v>
      </c>
      <c r="B177" t="s">
        <v>230</v>
      </c>
      <c r="C177" t="s">
        <v>17</v>
      </c>
      <c r="D177" t="s">
        <v>18</v>
      </c>
      <c r="E177" s="1">
        <v>45627</v>
      </c>
      <c r="F177" s="2">
        <v>4137011</v>
      </c>
      <c r="G177" s="3">
        <f>Table6[[#This Row],[ '# units Projected With Program]]-Table6[[#This Row],['# Projected units Incented by Program]]</f>
        <v>15</v>
      </c>
      <c r="H177" s="3">
        <f>Table6[[#This Row],[ '# units Projected With Program (as of March 31 2025)]]-Table6[[#This Row],[Increase in projected units ]]</f>
        <v>78</v>
      </c>
      <c r="I177" s="3">
        <v>63</v>
      </c>
      <c r="J177" s="3">
        <v>78</v>
      </c>
      <c r="K177" s="3">
        <f>Table6[[#This Row],[ '# units Projected With Program (as of March 31 2025)]]-Table6[[#This Row],['# units Projected Without Program]]</f>
        <v>63</v>
      </c>
      <c r="L177" s="3"/>
      <c r="M177" s="3">
        <v>4137011.4</v>
      </c>
      <c r="O177"/>
    </row>
    <row r="178" spans="1:15" x14ac:dyDescent="0.35">
      <c r="A178" t="s">
        <v>235</v>
      </c>
      <c r="B178" t="s">
        <v>230</v>
      </c>
      <c r="C178" t="s">
        <v>17</v>
      </c>
      <c r="D178" t="s">
        <v>18</v>
      </c>
      <c r="E178" s="1" t="s">
        <v>59</v>
      </c>
      <c r="F178" s="2">
        <v>3124000</v>
      </c>
      <c r="G178" s="3">
        <f>Table6[[#This Row],[ '# units Projected With Program]]-Table6[[#This Row],['# Projected units Incented by Program]]</f>
        <v>0</v>
      </c>
      <c r="H178" s="3">
        <f>Table6[[#This Row],[ '# units Projected With Program (as of March 31 2025)]]-Table6[[#This Row],[Increase in projected units ]]</f>
        <v>44</v>
      </c>
      <c r="I178" s="3">
        <v>44</v>
      </c>
      <c r="J178" s="3">
        <v>44</v>
      </c>
      <c r="K178" s="3">
        <f>Table6[[#This Row],[ '# units Projected With Program (as of March 31 2025)]]-Table6[[#This Row],['# units Projected Without Program]]</f>
        <v>44</v>
      </c>
      <c r="L178" s="3"/>
      <c r="M178" s="3">
        <v>3124000</v>
      </c>
      <c r="O178"/>
    </row>
    <row r="179" spans="1:15" x14ac:dyDescent="0.35">
      <c r="A179" t="s">
        <v>236</v>
      </c>
      <c r="B179" t="s">
        <v>230</v>
      </c>
      <c r="C179" t="s">
        <v>17</v>
      </c>
      <c r="D179" t="s">
        <v>11</v>
      </c>
      <c r="E179" s="1">
        <v>45505</v>
      </c>
      <c r="F179" s="2">
        <v>2060000</v>
      </c>
      <c r="G179" s="3">
        <f>Table6[[#This Row],[ '# units Projected With Program]]-Table6[[#This Row],['# Projected units Incented by Program]]</f>
        <v>18</v>
      </c>
      <c r="H179" s="3">
        <f>Table6[[#This Row],[ '# units Projected With Program (as of March 31 2025)]]-Table6[[#This Row],[Increase in projected units ]]</f>
        <v>60</v>
      </c>
      <c r="I179" s="3">
        <v>42</v>
      </c>
      <c r="J179" s="3">
        <v>60</v>
      </c>
      <c r="K179" s="3">
        <f>Table6[[#This Row],[ '# units Projected With Program (as of March 31 2025)]]-Table6[[#This Row],['# units Projected Without Program]]</f>
        <v>42</v>
      </c>
      <c r="L179" s="3"/>
      <c r="M179" s="3">
        <v>2060000</v>
      </c>
      <c r="O179"/>
    </row>
    <row r="180" spans="1:15" x14ac:dyDescent="0.35">
      <c r="F180" s="4"/>
      <c r="G180" s="5">
        <f>SUBTOTAL(109,Table6['# units Projected Without Program])</f>
        <v>371621</v>
      </c>
      <c r="H180" s="5">
        <f>SUBTOTAL(109,Table6[ '# units Projected With Program])</f>
        <v>477483</v>
      </c>
      <c r="I180" s="5">
        <f>SUBTOTAL(109,Table6['# Projected units Incented by Program])</f>
        <v>105862</v>
      </c>
      <c r="J180" s="5">
        <f>SUBTOTAL(109,Table6[ '# units Projected With Program (as of March 31 2025)])</f>
        <v>479702</v>
      </c>
      <c r="K180" s="5">
        <f>SUBTOTAL(109,Table6[ '# units Projected Incented by Program (as of March 31 2025)])</f>
        <v>108081</v>
      </c>
      <c r="L180" s="5">
        <f>SUBTOTAL(109,Table6[[Increase in projected units ]])</f>
        <v>2219</v>
      </c>
      <c r="M180" s="5">
        <f>SUBTOTAL(109,Table6[Total Funding (as of March 31)])</f>
        <v>3970758707.0899997</v>
      </c>
      <c r="O180"/>
    </row>
  </sheetData>
  <phoneticPr fontId="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CB89-08C6-43F5-B86E-F6C96CFECF6F}">
  <dimension ref="A1:I65"/>
  <sheetViews>
    <sheetView tabSelected="1" zoomScale="85" zoomScaleNormal="85" workbookViewId="0">
      <selection activeCell="I65" sqref="F65:I65"/>
    </sheetView>
  </sheetViews>
  <sheetFormatPr defaultRowHeight="14.5" x14ac:dyDescent="0.35"/>
  <cols>
    <col min="1" max="4" width="22.6328125" customWidth="1"/>
    <col min="5" max="5" width="23.453125" customWidth="1"/>
    <col min="6" max="6" width="22.6328125" style="3" customWidth="1"/>
    <col min="7" max="7" width="30.81640625" style="3" customWidth="1"/>
    <col min="8" max="8" width="28.36328125" style="3" customWidth="1"/>
    <col min="9" max="9" width="34" style="3" customWidth="1"/>
  </cols>
  <sheetData>
    <row r="1" spans="1:9" x14ac:dyDescent="0.35">
      <c r="A1" s="24" t="s">
        <v>0</v>
      </c>
      <c r="B1" s="25" t="s">
        <v>1</v>
      </c>
      <c r="C1" s="25" t="s">
        <v>2</v>
      </c>
      <c r="D1" s="25" t="s">
        <v>3</v>
      </c>
      <c r="E1" s="26" t="s">
        <v>4</v>
      </c>
      <c r="F1" s="27" t="s">
        <v>5</v>
      </c>
      <c r="G1" s="27" t="s">
        <v>6</v>
      </c>
      <c r="H1" s="27" t="s">
        <v>238</v>
      </c>
      <c r="I1" s="27" t="s">
        <v>7</v>
      </c>
    </row>
    <row r="2" spans="1:9" x14ac:dyDescent="0.35">
      <c r="A2" t="s">
        <v>301</v>
      </c>
      <c r="B2" t="s">
        <v>170</v>
      </c>
      <c r="C2" t="s">
        <v>10</v>
      </c>
      <c r="D2" t="s">
        <v>11</v>
      </c>
      <c r="E2" s="23">
        <v>45637</v>
      </c>
      <c r="F2" s="3">
        <v>13991742</v>
      </c>
      <c r="G2" s="3">
        <v>2143</v>
      </c>
      <c r="H2" s="3">
        <v>2628</v>
      </c>
      <c r="I2" s="3">
        <v>485</v>
      </c>
    </row>
    <row r="3" spans="1:9" x14ac:dyDescent="0.35">
      <c r="A3" t="s">
        <v>287</v>
      </c>
      <c r="B3" t="s">
        <v>170</v>
      </c>
      <c r="C3" t="s">
        <v>10</v>
      </c>
      <c r="D3" t="s">
        <v>11</v>
      </c>
      <c r="E3" s="23">
        <v>45644</v>
      </c>
      <c r="F3" s="3">
        <v>10532411</v>
      </c>
      <c r="G3" s="3">
        <v>1131</v>
      </c>
      <c r="H3" s="3">
        <v>1390</v>
      </c>
      <c r="I3" s="3">
        <v>259</v>
      </c>
    </row>
    <row r="4" spans="1:9" x14ac:dyDescent="0.35">
      <c r="A4" t="s">
        <v>258</v>
      </c>
      <c r="B4" t="s">
        <v>32</v>
      </c>
      <c r="C4" t="s">
        <v>10</v>
      </c>
      <c r="D4" t="s">
        <v>11</v>
      </c>
      <c r="E4" s="23">
        <v>45631</v>
      </c>
      <c r="F4" s="3">
        <v>14213969.699999999</v>
      </c>
      <c r="G4" s="3">
        <v>2095</v>
      </c>
      <c r="H4" s="3">
        <v>2519</v>
      </c>
      <c r="I4" s="3">
        <v>424</v>
      </c>
    </row>
    <row r="5" spans="1:9" x14ac:dyDescent="0.35">
      <c r="A5" t="s">
        <v>295</v>
      </c>
      <c r="B5" t="s">
        <v>170</v>
      </c>
      <c r="C5" t="s">
        <v>10</v>
      </c>
      <c r="D5" t="s">
        <v>11</v>
      </c>
      <c r="E5" s="23">
        <v>45632</v>
      </c>
      <c r="F5" s="3">
        <v>16072483.800000001</v>
      </c>
      <c r="G5" s="3">
        <v>1456</v>
      </c>
      <c r="H5" s="3">
        <v>1951</v>
      </c>
      <c r="I5" s="3">
        <v>495</v>
      </c>
    </row>
    <row r="6" spans="1:9" x14ac:dyDescent="0.35">
      <c r="A6" t="s">
        <v>250</v>
      </c>
      <c r="B6" t="s">
        <v>9</v>
      </c>
      <c r="C6" t="s">
        <v>10</v>
      </c>
      <c r="D6" t="s">
        <v>11</v>
      </c>
      <c r="E6" s="23">
        <v>45671</v>
      </c>
      <c r="F6" s="3">
        <v>7652644</v>
      </c>
      <c r="G6" s="3">
        <v>1086</v>
      </c>
      <c r="H6" s="3">
        <v>1330</v>
      </c>
      <c r="I6" s="3">
        <v>244</v>
      </c>
    </row>
    <row r="7" spans="1:9" x14ac:dyDescent="0.35">
      <c r="A7" t="s">
        <v>257</v>
      </c>
      <c r="B7" t="s">
        <v>32</v>
      </c>
      <c r="C7" t="s">
        <v>10</v>
      </c>
      <c r="D7" t="s">
        <v>11</v>
      </c>
      <c r="E7" s="23">
        <v>45637</v>
      </c>
      <c r="F7" s="3">
        <v>16632970</v>
      </c>
      <c r="G7" s="3">
        <v>2383</v>
      </c>
      <c r="H7" s="3">
        <v>2863</v>
      </c>
      <c r="I7" s="3">
        <v>480</v>
      </c>
    </row>
    <row r="8" spans="1:9" x14ac:dyDescent="0.35">
      <c r="A8" t="s">
        <v>269</v>
      </c>
      <c r="B8" t="s">
        <v>89</v>
      </c>
      <c r="C8" t="s">
        <v>10</v>
      </c>
      <c r="D8" t="s">
        <v>11</v>
      </c>
      <c r="E8" s="23">
        <v>45716</v>
      </c>
      <c r="F8" s="3">
        <v>3124743.5</v>
      </c>
      <c r="G8" s="3">
        <v>376</v>
      </c>
      <c r="H8" s="3">
        <v>485</v>
      </c>
      <c r="I8" s="3">
        <v>109</v>
      </c>
    </row>
    <row r="9" spans="1:9" x14ac:dyDescent="0.35">
      <c r="A9" t="s">
        <v>299</v>
      </c>
      <c r="B9" t="s">
        <v>170</v>
      </c>
      <c r="C9" t="s">
        <v>10</v>
      </c>
      <c r="D9" t="s">
        <v>11</v>
      </c>
      <c r="E9" s="23">
        <v>45649</v>
      </c>
      <c r="F9" s="3">
        <v>10615788</v>
      </c>
      <c r="G9" s="3">
        <v>503</v>
      </c>
      <c r="H9" s="3">
        <v>840</v>
      </c>
      <c r="I9" s="3">
        <v>337</v>
      </c>
    </row>
    <row r="10" spans="1:9" x14ac:dyDescent="0.35">
      <c r="A10" t="s">
        <v>297</v>
      </c>
      <c r="B10" t="s">
        <v>170</v>
      </c>
      <c r="C10" t="s">
        <v>10</v>
      </c>
      <c r="D10" t="s">
        <v>11</v>
      </c>
      <c r="E10" s="23">
        <v>45635</v>
      </c>
      <c r="F10" s="3">
        <v>10690354</v>
      </c>
      <c r="G10" s="3">
        <v>1054</v>
      </c>
      <c r="H10" s="3">
        <v>1410</v>
      </c>
      <c r="I10" s="3">
        <v>356</v>
      </c>
    </row>
    <row r="11" spans="1:9" x14ac:dyDescent="0.35">
      <c r="A11" t="s">
        <v>290</v>
      </c>
      <c r="B11" t="s">
        <v>170</v>
      </c>
      <c r="C11" t="s">
        <v>10</v>
      </c>
      <c r="D11" t="s">
        <v>11</v>
      </c>
      <c r="E11" s="23">
        <v>45639</v>
      </c>
      <c r="F11" s="3">
        <v>4379002.4000000004</v>
      </c>
      <c r="G11" s="3">
        <v>243</v>
      </c>
      <c r="H11" s="3">
        <v>371</v>
      </c>
      <c r="I11" s="3">
        <v>128</v>
      </c>
    </row>
    <row r="12" spans="1:9" x14ac:dyDescent="0.35">
      <c r="A12" t="s">
        <v>260</v>
      </c>
      <c r="B12" t="s">
        <v>32</v>
      </c>
      <c r="C12" t="s">
        <v>10</v>
      </c>
      <c r="D12" t="s">
        <v>11</v>
      </c>
      <c r="E12" s="23">
        <v>45635</v>
      </c>
      <c r="F12" s="3">
        <v>10353323.1</v>
      </c>
      <c r="G12" s="3">
        <v>844</v>
      </c>
      <c r="H12" s="3">
        <v>1131</v>
      </c>
      <c r="I12" s="3">
        <v>287</v>
      </c>
    </row>
    <row r="13" spans="1:9" x14ac:dyDescent="0.35">
      <c r="A13" t="s">
        <v>283</v>
      </c>
      <c r="B13" t="s">
        <v>170</v>
      </c>
      <c r="C13" t="s">
        <v>10</v>
      </c>
      <c r="D13" t="s">
        <v>11</v>
      </c>
      <c r="E13" s="23">
        <v>45636</v>
      </c>
      <c r="F13" s="3">
        <v>8616892</v>
      </c>
      <c r="G13" s="3">
        <v>810</v>
      </c>
      <c r="H13" s="3">
        <v>1090</v>
      </c>
      <c r="I13" s="3">
        <v>280</v>
      </c>
    </row>
    <row r="14" spans="1:9" x14ac:dyDescent="0.35">
      <c r="A14" t="s">
        <v>292</v>
      </c>
      <c r="B14" t="s">
        <v>170</v>
      </c>
      <c r="C14" t="s">
        <v>10</v>
      </c>
      <c r="D14" t="s">
        <v>11</v>
      </c>
      <c r="E14" s="23">
        <v>45635</v>
      </c>
      <c r="F14" s="3">
        <v>6651421.7999999998</v>
      </c>
      <c r="G14" s="3">
        <v>950</v>
      </c>
      <c r="H14" s="3">
        <v>1183</v>
      </c>
      <c r="I14" s="3">
        <v>233</v>
      </c>
    </row>
    <row r="15" spans="1:9" x14ac:dyDescent="0.35">
      <c r="A15" t="s">
        <v>259</v>
      </c>
      <c r="B15" t="s">
        <v>32</v>
      </c>
      <c r="C15" t="s">
        <v>10</v>
      </c>
      <c r="D15" t="s">
        <v>11</v>
      </c>
      <c r="E15" s="23">
        <v>45645</v>
      </c>
      <c r="F15" s="3">
        <v>7978160.9000000004</v>
      </c>
      <c r="G15" s="3">
        <v>1110</v>
      </c>
      <c r="H15" s="3">
        <v>1343</v>
      </c>
      <c r="I15" s="3">
        <v>233</v>
      </c>
    </row>
    <row r="16" spans="1:9" x14ac:dyDescent="0.35">
      <c r="A16" t="s">
        <v>313</v>
      </c>
      <c r="B16" t="s">
        <v>230</v>
      </c>
      <c r="C16" t="s">
        <v>17</v>
      </c>
      <c r="D16" t="s">
        <v>11</v>
      </c>
      <c r="E16" s="23">
        <v>45645</v>
      </c>
      <c r="F16" s="3">
        <v>684000</v>
      </c>
      <c r="G16" s="3">
        <v>11</v>
      </c>
      <c r="H16" s="3">
        <v>25</v>
      </c>
      <c r="I16" s="3">
        <v>14</v>
      </c>
    </row>
    <row r="17" spans="1:9" x14ac:dyDescent="0.35">
      <c r="A17" t="s">
        <v>274</v>
      </c>
      <c r="B17" t="s">
        <v>122</v>
      </c>
      <c r="C17" t="s">
        <v>17</v>
      </c>
      <c r="D17" t="s">
        <v>11</v>
      </c>
      <c r="E17" s="23">
        <v>45644</v>
      </c>
      <c r="F17" s="3">
        <v>2616019</v>
      </c>
      <c r="G17" s="3">
        <v>18</v>
      </c>
      <c r="H17" s="3">
        <v>70</v>
      </c>
      <c r="I17" s="3">
        <v>52</v>
      </c>
    </row>
    <row r="18" spans="1:9" x14ac:dyDescent="0.35">
      <c r="A18" t="s">
        <v>307</v>
      </c>
      <c r="B18" t="s">
        <v>170</v>
      </c>
      <c r="C18" t="s">
        <v>17</v>
      </c>
      <c r="D18" t="s">
        <v>18</v>
      </c>
      <c r="E18" s="23">
        <v>45674</v>
      </c>
      <c r="F18" s="3">
        <v>710000</v>
      </c>
      <c r="G18" s="3">
        <v>3</v>
      </c>
      <c r="H18" s="3">
        <v>13</v>
      </c>
      <c r="I18" s="3">
        <v>10</v>
      </c>
    </row>
    <row r="19" spans="1:9" x14ac:dyDescent="0.35">
      <c r="A19" t="s">
        <v>255</v>
      </c>
      <c r="B19" t="s">
        <v>9</v>
      </c>
      <c r="C19" t="s">
        <v>17</v>
      </c>
      <c r="D19" t="s">
        <v>11</v>
      </c>
      <c r="E19" s="23">
        <v>45671</v>
      </c>
      <c r="F19" s="3">
        <v>1672139.9</v>
      </c>
      <c r="G19" s="3">
        <v>36</v>
      </c>
      <c r="H19" s="3">
        <v>87</v>
      </c>
      <c r="I19" s="3">
        <v>51</v>
      </c>
    </row>
    <row r="20" spans="1:9" x14ac:dyDescent="0.35">
      <c r="A20" t="s">
        <v>310</v>
      </c>
      <c r="B20" t="s">
        <v>217</v>
      </c>
      <c r="E20" s="23">
        <v>45616</v>
      </c>
      <c r="F20" s="3">
        <v>92000000</v>
      </c>
      <c r="G20" s="3">
        <v>0</v>
      </c>
      <c r="H20" s="3">
        <v>2760</v>
      </c>
      <c r="I20" s="3">
        <v>2760</v>
      </c>
    </row>
    <row r="21" spans="1:9" x14ac:dyDescent="0.35">
      <c r="A21" t="s">
        <v>294</v>
      </c>
      <c r="B21" t="s">
        <v>170</v>
      </c>
      <c r="C21" t="s">
        <v>10</v>
      </c>
      <c r="D21" t="s">
        <v>11</v>
      </c>
      <c r="E21" s="23">
        <v>45681</v>
      </c>
      <c r="F21" s="3">
        <v>7436162</v>
      </c>
      <c r="G21" s="3">
        <v>690</v>
      </c>
      <c r="H21" s="3">
        <v>898</v>
      </c>
      <c r="I21" s="3">
        <v>208</v>
      </c>
    </row>
    <row r="22" spans="1:9" x14ac:dyDescent="0.35">
      <c r="A22" t="s">
        <v>285</v>
      </c>
      <c r="B22" t="s">
        <v>170</v>
      </c>
      <c r="C22" t="s">
        <v>10</v>
      </c>
      <c r="D22" t="s">
        <v>11</v>
      </c>
      <c r="E22" s="23">
        <v>45637</v>
      </c>
      <c r="F22" s="3">
        <v>3583905</v>
      </c>
      <c r="G22" s="3">
        <v>504</v>
      </c>
      <c r="H22" s="3">
        <v>615</v>
      </c>
      <c r="I22" s="3">
        <v>111</v>
      </c>
    </row>
    <row r="23" spans="1:9" x14ac:dyDescent="0.35">
      <c r="A23" t="s">
        <v>303</v>
      </c>
      <c r="B23" t="s">
        <v>170</v>
      </c>
      <c r="C23" t="s">
        <v>17</v>
      </c>
      <c r="D23" t="s">
        <v>11</v>
      </c>
      <c r="E23" s="23">
        <v>45678</v>
      </c>
      <c r="F23" s="3">
        <v>2625313.7999999998</v>
      </c>
      <c r="G23" s="3">
        <v>270</v>
      </c>
      <c r="H23" s="3">
        <v>343</v>
      </c>
      <c r="I23" s="3">
        <v>73</v>
      </c>
    </row>
    <row r="24" spans="1:9" x14ac:dyDescent="0.35">
      <c r="A24" t="s">
        <v>271</v>
      </c>
      <c r="B24" t="s">
        <v>89</v>
      </c>
      <c r="C24" t="s">
        <v>17</v>
      </c>
      <c r="D24" t="s">
        <v>11</v>
      </c>
      <c r="E24" s="23">
        <v>45670</v>
      </c>
      <c r="F24" s="3">
        <v>2374620.2999999998</v>
      </c>
      <c r="G24" s="3">
        <v>70</v>
      </c>
      <c r="H24" s="3">
        <v>133</v>
      </c>
      <c r="I24" s="3">
        <v>63</v>
      </c>
    </row>
    <row r="25" spans="1:9" x14ac:dyDescent="0.35">
      <c r="A25" t="s">
        <v>293</v>
      </c>
      <c r="B25" t="s">
        <v>170</v>
      </c>
      <c r="C25" t="s">
        <v>10</v>
      </c>
      <c r="D25" t="s">
        <v>11</v>
      </c>
      <c r="E25" s="23">
        <v>45671</v>
      </c>
      <c r="F25" s="3">
        <v>10057602.9</v>
      </c>
      <c r="G25" s="3">
        <v>1287</v>
      </c>
      <c r="H25" s="3">
        <v>1587</v>
      </c>
      <c r="I25" s="3">
        <v>300</v>
      </c>
    </row>
    <row r="26" spans="1:9" x14ac:dyDescent="0.35">
      <c r="A26" t="s">
        <v>296</v>
      </c>
      <c r="B26" t="s">
        <v>170</v>
      </c>
      <c r="C26" t="s">
        <v>10</v>
      </c>
      <c r="D26" t="s">
        <v>11</v>
      </c>
      <c r="E26" s="23">
        <v>45649</v>
      </c>
      <c r="F26" s="3">
        <v>4246800.5</v>
      </c>
      <c r="G26" s="3">
        <v>527</v>
      </c>
      <c r="H26" s="3">
        <v>645</v>
      </c>
      <c r="I26" s="3">
        <v>118</v>
      </c>
    </row>
    <row r="27" spans="1:9" x14ac:dyDescent="0.35">
      <c r="A27" t="s">
        <v>300</v>
      </c>
      <c r="B27" t="s">
        <v>170</v>
      </c>
      <c r="C27" t="s">
        <v>10</v>
      </c>
      <c r="D27" t="s">
        <v>11</v>
      </c>
      <c r="E27" s="23">
        <v>45636</v>
      </c>
      <c r="F27" s="3">
        <v>3315592.8</v>
      </c>
      <c r="G27" s="3">
        <v>306</v>
      </c>
      <c r="H27" s="3">
        <v>414</v>
      </c>
      <c r="I27" s="3">
        <v>108</v>
      </c>
    </row>
    <row r="28" spans="1:9" x14ac:dyDescent="0.35">
      <c r="A28" t="s">
        <v>277</v>
      </c>
      <c r="B28" t="s">
        <v>127</v>
      </c>
      <c r="C28" t="s">
        <v>17</v>
      </c>
      <c r="D28" t="s">
        <v>11</v>
      </c>
      <c r="E28" s="23">
        <v>45679</v>
      </c>
      <c r="F28" s="3">
        <v>1546000</v>
      </c>
      <c r="G28" s="3">
        <v>72</v>
      </c>
      <c r="H28" s="3">
        <v>112</v>
      </c>
      <c r="I28" s="3">
        <v>40</v>
      </c>
    </row>
    <row r="29" spans="1:9" x14ac:dyDescent="0.35">
      <c r="A29" t="s">
        <v>282</v>
      </c>
      <c r="B29" t="s">
        <v>127</v>
      </c>
      <c r="C29" t="s">
        <v>17</v>
      </c>
      <c r="D29" t="s">
        <v>11</v>
      </c>
      <c r="E29" s="23">
        <v>45646</v>
      </c>
      <c r="F29" s="3">
        <v>775560.1</v>
      </c>
      <c r="G29" s="3">
        <v>43</v>
      </c>
      <c r="H29" s="3">
        <v>63</v>
      </c>
      <c r="I29" s="3">
        <v>20</v>
      </c>
    </row>
    <row r="30" spans="1:9" x14ac:dyDescent="0.35">
      <c r="A30" t="s">
        <v>263</v>
      </c>
      <c r="B30" t="s">
        <v>32</v>
      </c>
      <c r="C30" t="s">
        <v>17</v>
      </c>
      <c r="D30" t="s">
        <v>18</v>
      </c>
      <c r="E30" s="23">
        <v>45645</v>
      </c>
      <c r="F30" s="3">
        <v>3403996.2</v>
      </c>
      <c r="G30" s="3">
        <v>108</v>
      </c>
      <c r="H30" s="3">
        <v>154</v>
      </c>
      <c r="I30" s="3">
        <v>46</v>
      </c>
    </row>
    <row r="31" spans="1:9" x14ac:dyDescent="0.35">
      <c r="A31" t="s">
        <v>270</v>
      </c>
      <c r="B31" t="s">
        <v>89</v>
      </c>
      <c r="C31" t="s">
        <v>17</v>
      </c>
      <c r="D31" t="s">
        <v>11</v>
      </c>
      <c r="E31" s="23">
        <v>45666</v>
      </c>
      <c r="F31" s="3">
        <v>1692000</v>
      </c>
      <c r="G31" s="3">
        <v>55</v>
      </c>
      <c r="H31" s="3">
        <v>115</v>
      </c>
      <c r="I31" s="3">
        <v>60</v>
      </c>
    </row>
    <row r="32" spans="1:9" x14ac:dyDescent="0.35">
      <c r="A32" t="s">
        <v>286</v>
      </c>
      <c r="B32" t="s">
        <v>170</v>
      </c>
      <c r="C32" t="s">
        <v>10</v>
      </c>
      <c r="D32" t="s">
        <v>11</v>
      </c>
      <c r="E32" s="23">
        <v>45649</v>
      </c>
      <c r="F32" s="3">
        <v>4515160</v>
      </c>
      <c r="G32" s="3">
        <v>808</v>
      </c>
      <c r="H32" s="3">
        <v>908</v>
      </c>
      <c r="I32" s="3">
        <v>100</v>
      </c>
    </row>
    <row r="33" spans="1:9" x14ac:dyDescent="0.35">
      <c r="A33" t="s">
        <v>253</v>
      </c>
      <c r="B33" t="s">
        <v>9</v>
      </c>
      <c r="C33" t="s">
        <v>17</v>
      </c>
      <c r="D33" t="s">
        <v>254</v>
      </c>
      <c r="E33" s="23">
        <v>45644</v>
      </c>
      <c r="F33" s="3">
        <v>9483100</v>
      </c>
      <c r="G33" s="3">
        <v>709</v>
      </c>
      <c r="H33" s="3">
        <v>949</v>
      </c>
      <c r="I33" s="3">
        <v>240</v>
      </c>
    </row>
    <row r="34" spans="1:9" x14ac:dyDescent="0.35">
      <c r="A34" t="s">
        <v>273</v>
      </c>
      <c r="B34" t="s">
        <v>112</v>
      </c>
      <c r="C34" t="s">
        <v>17</v>
      </c>
      <c r="D34" t="s">
        <v>11</v>
      </c>
      <c r="E34" s="23">
        <v>45646</v>
      </c>
      <c r="F34" s="3">
        <v>1215000</v>
      </c>
      <c r="G34" s="3">
        <v>45</v>
      </c>
      <c r="H34" s="3">
        <v>80</v>
      </c>
      <c r="I34" s="3">
        <v>35</v>
      </c>
    </row>
    <row r="35" spans="1:9" x14ac:dyDescent="0.35">
      <c r="A35" t="s">
        <v>256</v>
      </c>
      <c r="B35" t="s">
        <v>32</v>
      </c>
      <c r="C35" t="s">
        <v>10</v>
      </c>
      <c r="D35" t="s">
        <v>11</v>
      </c>
      <c r="E35" s="23">
        <v>45636</v>
      </c>
      <c r="F35" s="3">
        <v>2550853.6</v>
      </c>
      <c r="G35" s="3">
        <v>310</v>
      </c>
      <c r="H35" s="3">
        <v>372</v>
      </c>
      <c r="I35" s="3">
        <v>62</v>
      </c>
    </row>
    <row r="36" spans="1:9" x14ac:dyDescent="0.35">
      <c r="A36" t="s">
        <v>266</v>
      </c>
      <c r="B36" t="s">
        <v>81</v>
      </c>
      <c r="C36" t="s">
        <v>17</v>
      </c>
      <c r="D36" t="s">
        <v>11</v>
      </c>
      <c r="E36" s="23">
        <v>45636</v>
      </c>
      <c r="F36" s="3">
        <v>1117200</v>
      </c>
      <c r="G36" s="3">
        <v>15</v>
      </c>
      <c r="H36" s="3">
        <v>47</v>
      </c>
      <c r="I36" s="3">
        <v>32</v>
      </c>
    </row>
    <row r="37" spans="1:9" x14ac:dyDescent="0.35">
      <c r="A37" t="s">
        <v>265</v>
      </c>
      <c r="B37" t="s">
        <v>81</v>
      </c>
      <c r="C37" t="s">
        <v>17</v>
      </c>
      <c r="D37" t="s">
        <v>11</v>
      </c>
      <c r="E37" s="23">
        <v>45632</v>
      </c>
      <c r="F37" s="3">
        <v>2265475.2000000002</v>
      </c>
      <c r="G37" s="3">
        <v>251</v>
      </c>
      <c r="H37" s="3">
        <v>302</v>
      </c>
      <c r="I37" s="3">
        <v>51</v>
      </c>
    </row>
    <row r="38" spans="1:9" x14ac:dyDescent="0.35">
      <c r="A38" t="s">
        <v>304</v>
      </c>
      <c r="B38" t="s">
        <v>170</v>
      </c>
      <c r="C38" t="s">
        <v>17</v>
      </c>
      <c r="D38" t="s">
        <v>11</v>
      </c>
      <c r="E38" s="23">
        <v>45635</v>
      </c>
      <c r="F38" s="3">
        <v>1568800</v>
      </c>
      <c r="G38" s="3">
        <v>240</v>
      </c>
      <c r="H38" s="3">
        <v>304</v>
      </c>
      <c r="I38" s="3">
        <v>64</v>
      </c>
    </row>
    <row r="39" spans="1:9" x14ac:dyDescent="0.35">
      <c r="A39" t="s">
        <v>262</v>
      </c>
      <c r="B39" t="s">
        <v>32</v>
      </c>
      <c r="C39" t="s">
        <v>17</v>
      </c>
      <c r="D39" t="s">
        <v>18</v>
      </c>
      <c r="E39" s="23">
        <v>45638</v>
      </c>
      <c r="F39" s="3">
        <v>9454000</v>
      </c>
      <c r="G39" s="3">
        <v>235</v>
      </c>
      <c r="H39" s="3">
        <v>366</v>
      </c>
      <c r="I39" s="3">
        <v>131</v>
      </c>
    </row>
    <row r="40" spans="1:9" x14ac:dyDescent="0.35">
      <c r="A40" t="s">
        <v>252</v>
      </c>
      <c r="B40" t="s">
        <v>9</v>
      </c>
      <c r="C40" t="s">
        <v>10</v>
      </c>
      <c r="D40" t="s">
        <v>11</v>
      </c>
      <c r="E40" s="23">
        <v>45654</v>
      </c>
      <c r="F40" s="3">
        <v>11813094.4</v>
      </c>
      <c r="G40" s="3">
        <v>1322</v>
      </c>
      <c r="H40" s="3">
        <v>1624</v>
      </c>
      <c r="I40" s="3">
        <v>302</v>
      </c>
    </row>
    <row r="41" spans="1:9" x14ac:dyDescent="0.35">
      <c r="A41" t="s">
        <v>308</v>
      </c>
      <c r="B41" t="s">
        <v>170</v>
      </c>
      <c r="C41" t="s">
        <v>17</v>
      </c>
      <c r="D41" t="s">
        <v>18</v>
      </c>
      <c r="E41" s="23">
        <v>45639</v>
      </c>
      <c r="F41" s="3">
        <v>426000</v>
      </c>
      <c r="G41" s="3">
        <v>6</v>
      </c>
      <c r="H41" s="3">
        <v>12</v>
      </c>
      <c r="I41" s="3">
        <v>6</v>
      </c>
    </row>
    <row r="42" spans="1:9" x14ac:dyDescent="0.35">
      <c r="A42" t="s">
        <v>251</v>
      </c>
      <c r="B42" t="s">
        <v>9</v>
      </c>
      <c r="C42" t="s">
        <v>10</v>
      </c>
      <c r="D42" t="s">
        <v>11</v>
      </c>
      <c r="E42" s="23">
        <v>45698</v>
      </c>
      <c r="F42" s="3">
        <v>12514728.300000001</v>
      </c>
      <c r="G42" s="3">
        <v>825</v>
      </c>
      <c r="H42" s="3">
        <v>1177</v>
      </c>
      <c r="I42" s="3">
        <v>352</v>
      </c>
    </row>
    <row r="43" spans="1:9" x14ac:dyDescent="0.35">
      <c r="A43" t="s">
        <v>306</v>
      </c>
      <c r="B43" t="s">
        <v>170</v>
      </c>
      <c r="C43" t="s">
        <v>17</v>
      </c>
      <c r="D43" t="s">
        <v>11</v>
      </c>
      <c r="E43" s="23">
        <v>45632</v>
      </c>
      <c r="F43" s="3">
        <v>3421221</v>
      </c>
      <c r="G43" s="3">
        <v>332</v>
      </c>
      <c r="H43" s="3">
        <v>433</v>
      </c>
      <c r="I43" s="3">
        <v>101</v>
      </c>
    </row>
    <row r="44" spans="1:9" x14ac:dyDescent="0.35">
      <c r="A44" t="s">
        <v>288</v>
      </c>
      <c r="B44" t="s">
        <v>170</v>
      </c>
      <c r="C44" t="s">
        <v>10</v>
      </c>
      <c r="D44" t="s">
        <v>11</v>
      </c>
      <c r="E44" s="23">
        <v>45645</v>
      </c>
      <c r="F44" s="3">
        <v>3794477.5</v>
      </c>
      <c r="G44" s="3">
        <v>450</v>
      </c>
      <c r="H44" s="3">
        <v>575</v>
      </c>
      <c r="I44" s="3">
        <v>125</v>
      </c>
    </row>
    <row r="45" spans="1:9" x14ac:dyDescent="0.35">
      <c r="A45" t="s">
        <v>302</v>
      </c>
      <c r="B45" t="s">
        <v>170</v>
      </c>
      <c r="C45" t="s">
        <v>17</v>
      </c>
      <c r="D45" t="s">
        <v>11</v>
      </c>
      <c r="E45" s="23">
        <v>45646</v>
      </c>
      <c r="F45" s="3">
        <v>1898943</v>
      </c>
      <c r="G45" s="3">
        <v>72</v>
      </c>
      <c r="H45" s="3">
        <v>130</v>
      </c>
      <c r="I45" s="3">
        <v>58</v>
      </c>
    </row>
    <row r="46" spans="1:9" x14ac:dyDescent="0.35">
      <c r="A46" t="s">
        <v>289</v>
      </c>
      <c r="B46" t="s">
        <v>170</v>
      </c>
      <c r="C46" t="s">
        <v>10</v>
      </c>
      <c r="D46" t="s">
        <v>11</v>
      </c>
      <c r="E46" s="23">
        <v>45646</v>
      </c>
      <c r="F46" s="3">
        <v>5843400</v>
      </c>
      <c r="G46" s="3">
        <v>1005</v>
      </c>
      <c r="H46" s="3">
        <v>1215</v>
      </c>
      <c r="I46" s="3">
        <v>210</v>
      </c>
    </row>
    <row r="47" spans="1:9" x14ac:dyDescent="0.35">
      <c r="A47" t="s">
        <v>309</v>
      </c>
      <c r="B47" t="s">
        <v>210</v>
      </c>
      <c r="C47" t="s">
        <v>17</v>
      </c>
      <c r="D47" t="s">
        <v>11</v>
      </c>
      <c r="E47" s="23">
        <v>45642</v>
      </c>
      <c r="F47" s="3">
        <v>910058.6</v>
      </c>
      <c r="G47" s="3">
        <v>58</v>
      </c>
      <c r="H47" s="3">
        <v>79</v>
      </c>
      <c r="I47" s="3">
        <v>21</v>
      </c>
    </row>
    <row r="48" spans="1:9" x14ac:dyDescent="0.35">
      <c r="A48" t="s">
        <v>278</v>
      </c>
      <c r="B48" t="s">
        <v>127</v>
      </c>
      <c r="C48" t="s">
        <v>17</v>
      </c>
      <c r="D48" t="s">
        <v>11</v>
      </c>
      <c r="E48" s="23">
        <v>45636</v>
      </c>
      <c r="F48" s="3">
        <v>2264150</v>
      </c>
      <c r="G48" s="3">
        <v>110</v>
      </c>
      <c r="H48" s="3">
        <v>177</v>
      </c>
      <c r="I48" s="3">
        <v>67</v>
      </c>
    </row>
    <row r="49" spans="1:9" x14ac:dyDescent="0.35">
      <c r="A49" t="s">
        <v>276</v>
      </c>
      <c r="B49" t="s">
        <v>127</v>
      </c>
      <c r="C49" t="s">
        <v>17</v>
      </c>
      <c r="D49" t="s">
        <v>11</v>
      </c>
      <c r="E49" s="23">
        <v>45637</v>
      </c>
      <c r="F49" s="3">
        <v>3368920</v>
      </c>
      <c r="G49" s="3">
        <v>267</v>
      </c>
      <c r="H49" s="3">
        <v>367</v>
      </c>
      <c r="I49" s="3">
        <v>100</v>
      </c>
    </row>
    <row r="50" spans="1:9" x14ac:dyDescent="0.35">
      <c r="A50" t="s">
        <v>291</v>
      </c>
      <c r="B50" t="s">
        <v>170</v>
      </c>
      <c r="C50" t="s">
        <v>10</v>
      </c>
      <c r="D50" t="s">
        <v>11</v>
      </c>
      <c r="E50" s="23">
        <v>45630</v>
      </c>
      <c r="F50" s="3">
        <v>5693923.4000000004</v>
      </c>
      <c r="G50" s="3">
        <v>645</v>
      </c>
      <c r="H50" s="3">
        <v>813</v>
      </c>
      <c r="I50" s="3">
        <v>168</v>
      </c>
    </row>
    <row r="51" spans="1:9" x14ac:dyDescent="0.35">
      <c r="A51" t="s">
        <v>279</v>
      </c>
      <c r="B51" t="s">
        <v>127</v>
      </c>
      <c r="C51" t="s">
        <v>17</v>
      </c>
      <c r="D51" t="s">
        <v>11</v>
      </c>
      <c r="E51" s="23">
        <v>45670</v>
      </c>
      <c r="F51" s="3">
        <v>760952.5</v>
      </c>
      <c r="G51" s="3">
        <v>33</v>
      </c>
      <c r="H51" s="3">
        <v>55</v>
      </c>
      <c r="I51" s="3">
        <v>22</v>
      </c>
    </row>
    <row r="52" spans="1:9" x14ac:dyDescent="0.35">
      <c r="A52" t="s">
        <v>305</v>
      </c>
      <c r="B52" t="s">
        <v>170</v>
      </c>
      <c r="C52" t="s">
        <v>17</v>
      </c>
      <c r="D52" t="s">
        <v>11</v>
      </c>
      <c r="E52" s="23">
        <v>45638</v>
      </c>
      <c r="F52" s="3">
        <v>2047000</v>
      </c>
      <c r="G52" s="3">
        <v>36</v>
      </c>
      <c r="H52" s="3">
        <v>100</v>
      </c>
      <c r="I52" s="3">
        <v>64</v>
      </c>
    </row>
    <row r="53" spans="1:9" x14ac:dyDescent="0.35">
      <c r="A53" t="s">
        <v>311</v>
      </c>
      <c r="B53" t="s">
        <v>222</v>
      </c>
      <c r="C53" t="s">
        <v>17</v>
      </c>
      <c r="D53" t="s">
        <v>11</v>
      </c>
      <c r="E53" s="23">
        <v>45649</v>
      </c>
      <c r="F53" s="3">
        <v>1109100.6000000001</v>
      </c>
      <c r="G53" s="3">
        <v>28</v>
      </c>
      <c r="H53" s="3">
        <v>58</v>
      </c>
      <c r="I53" s="3">
        <v>30</v>
      </c>
    </row>
    <row r="54" spans="1:9" x14ac:dyDescent="0.35">
      <c r="A54" t="s">
        <v>275</v>
      </c>
      <c r="B54" t="s">
        <v>127</v>
      </c>
      <c r="C54" t="s">
        <v>17</v>
      </c>
      <c r="D54" t="s">
        <v>11</v>
      </c>
      <c r="E54" s="23">
        <v>45679</v>
      </c>
      <c r="F54" s="3">
        <v>417030.40000000002</v>
      </c>
      <c r="G54" s="3">
        <v>23</v>
      </c>
      <c r="H54" s="3">
        <v>36</v>
      </c>
      <c r="I54" s="3">
        <v>13</v>
      </c>
    </row>
    <row r="55" spans="1:9" x14ac:dyDescent="0.35">
      <c r="A55" t="s">
        <v>280</v>
      </c>
      <c r="B55" t="s">
        <v>127</v>
      </c>
      <c r="C55" t="s">
        <v>17</v>
      </c>
      <c r="D55" t="s">
        <v>11</v>
      </c>
      <c r="E55" s="23">
        <v>45678</v>
      </c>
      <c r="F55" s="3">
        <v>993015.2</v>
      </c>
      <c r="G55" s="3">
        <v>14</v>
      </c>
      <c r="H55" s="3">
        <v>44</v>
      </c>
      <c r="I55" s="3">
        <v>30</v>
      </c>
    </row>
    <row r="56" spans="1:9" x14ac:dyDescent="0.35">
      <c r="A56" t="s">
        <v>312</v>
      </c>
      <c r="B56" t="s">
        <v>222</v>
      </c>
      <c r="C56" t="s">
        <v>17</v>
      </c>
      <c r="D56" t="s">
        <v>11</v>
      </c>
      <c r="E56" s="23">
        <v>45677</v>
      </c>
      <c r="F56" s="3">
        <v>402034.8</v>
      </c>
      <c r="G56" s="3">
        <v>9</v>
      </c>
      <c r="H56" s="3">
        <v>21</v>
      </c>
      <c r="I56" s="3">
        <v>12</v>
      </c>
    </row>
    <row r="57" spans="1:9" x14ac:dyDescent="0.35">
      <c r="A57" t="s">
        <v>298</v>
      </c>
      <c r="B57" t="s">
        <v>170</v>
      </c>
      <c r="C57" t="s">
        <v>10</v>
      </c>
      <c r="D57" t="s">
        <v>11</v>
      </c>
      <c r="E57" s="23">
        <v>45630</v>
      </c>
      <c r="F57" s="3">
        <v>3235008</v>
      </c>
      <c r="G57" s="3">
        <v>569</v>
      </c>
      <c r="H57" s="3">
        <v>659</v>
      </c>
      <c r="I57" s="3">
        <v>90</v>
      </c>
    </row>
    <row r="58" spans="1:9" x14ac:dyDescent="0.35">
      <c r="A58" t="s">
        <v>272</v>
      </c>
      <c r="B58" t="s">
        <v>112</v>
      </c>
      <c r="C58" t="s">
        <v>17</v>
      </c>
      <c r="D58" t="s">
        <v>11</v>
      </c>
      <c r="E58" s="23">
        <v>45645</v>
      </c>
      <c r="F58" s="3">
        <v>2122009.5</v>
      </c>
      <c r="G58" s="3">
        <v>50</v>
      </c>
      <c r="H58" s="3">
        <v>113</v>
      </c>
      <c r="I58" s="3">
        <v>63</v>
      </c>
    </row>
    <row r="59" spans="1:9" x14ac:dyDescent="0.35">
      <c r="A59" t="s">
        <v>284</v>
      </c>
      <c r="B59" t="s">
        <v>170</v>
      </c>
      <c r="C59" t="s">
        <v>10</v>
      </c>
      <c r="D59" t="s">
        <v>11</v>
      </c>
      <c r="E59" s="23">
        <v>45645</v>
      </c>
      <c r="F59" s="3">
        <v>8009665</v>
      </c>
      <c r="G59" s="3">
        <v>1600</v>
      </c>
      <c r="H59" s="3">
        <v>1825</v>
      </c>
      <c r="I59" s="3">
        <v>225</v>
      </c>
    </row>
    <row r="60" spans="1:9" x14ac:dyDescent="0.35">
      <c r="A60" t="s">
        <v>281</v>
      </c>
      <c r="B60" t="s">
        <v>127</v>
      </c>
      <c r="C60" t="s">
        <v>17</v>
      </c>
      <c r="D60" t="s">
        <v>11</v>
      </c>
      <c r="E60" s="23">
        <v>45679</v>
      </c>
      <c r="F60" s="3">
        <v>2323150</v>
      </c>
      <c r="G60" s="3">
        <v>54</v>
      </c>
      <c r="H60" s="3">
        <v>119</v>
      </c>
      <c r="I60" s="3">
        <v>65</v>
      </c>
    </row>
    <row r="61" spans="1:9" x14ac:dyDescent="0.35">
      <c r="A61" t="s">
        <v>261</v>
      </c>
      <c r="B61" t="s">
        <v>32</v>
      </c>
      <c r="C61" t="s">
        <v>17</v>
      </c>
      <c r="D61" t="s">
        <v>100</v>
      </c>
      <c r="E61" s="23">
        <v>45646</v>
      </c>
      <c r="F61" s="3">
        <v>1877091.2</v>
      </c>
      <c r="G61" s="3">
        <v>157</v>
      </c>
      <c r="H61" s="3">
        <v>192</v>
      </c>
      <c r="I61" s="3">
        <v>35</v>
      </c>
    </row>
    <row r="62" spans="1:9" x14ac:dyDescent="0.35">
      <c r="A62" t="s">
        <v>264</v>
      </c>
      <c r="B62" t="s">
        <v>81</v>
      </c>
      <c r="C62" t="s">
        <v>17</v>
      </c>
      <c r="D62" t="s">
        <v>11</v>
      </c>
      <c r="E62" s="23">
        <v>45646</v>
      </c>
      <c r="F62" s="3">
        <v>672000</v>
      </c>
      <c r="G62" s="3">
        <v>36</v>
      </c>
      <c r="H62" s="3">
        <v>60</v>
      </c>
      <c r="I62" s="3">
        <v>24</v>
      </c>
    </row>
    <row r="63" spans="1:9" x14ac:dyDescent="0.35">
      <c r="A63" t="s">
        <v>268</v>
      </c>
      <c r="B63" t="s">
        <v>89</v>
      </c>
      <c r="C63" t="s">
        <v>10</v>
      </c>
      <c r="D63" t="s">
        <v>11</v>
      </c>
      <c r="E63" s="23">
        <v>45667</v>
      </c>
      <c r="F63" s="3">
        <v>4396323</v>
      </c>
      <c r="G63" s="3">
        <v>168</v>
      </c>
      <c r="H63" s="3">
        <v>270</v>
      </c>
      <c r="I63" s="3">
        <v>102</v>
      </c>
    </row>
    <row r="64" spans="1:9" x14ac:dyDescent="0.35">
      <c r="A64" t="s">
        <v>267</v>
      </c>
      <c r="B64" t="s">
        <v>89</v>
      </c>
      <c r="C64" t="s">
        <v>10</v>
      </c>
      <c r="D64" t="s">
        <v>11</v>
      </c>
      <c r="E64" s="23">
        <v>45643</v>
      </c>
      <c r="F64" s="3">
        <v>7270660</v>
      </c>
      <c r="G64" s="3">
        <v>2187</v>
      </c>
      <c r="H64" s="3">
        <v>2407</v>
      </c>
      <c r="I64" s="3">
        <v>220</v>
      </c>
    </row>
    <row r="65" spans="1:9" x14ac:dyDescent="0.35">
      <c r="A65" t="s">
        <v>314</v>
      </c>
      <c r="F65" s="29">
        <f>SUBTOTAL(109,Table2[Total Funding])</f>
        <v>399999163.90000004</v>
      </c>
      <c r="G65" s="29">
        <f>SUBTOTAL(109,Table2['# units Projected Without Program])</f>
        <v>32853</v>
      </c>
      <c r="H65" s="29">
        <f>SUBTOTAL(109,Table2[ '# units Projected With Program])</f>
        <v>44457</v>
      </c>
      <c r="I65" s="29">
        <f>SUBTOTAL(109,Table2['# Projected units Incented by Program])</f>
        <v>11604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4.5" x14ac:dyDescent="0.35"/>
  <sheetData>
    <row r="1" spans="1:1" x14ac:dyDescent="0.35">
      <c r="A1" t="s">
        <v>237</v>
      </c>
    </row>
  </sheetData>
  <pageMargins left="0.7" right="0.7" top="0.75" bottom="0.75" header="0.3" footer="0.3"/>
  <headerFooter>
    <oddHeader>&amp;C&amp;"Calibri"&amp;10&amp;K000000 Protected External-Protégé Externe&amp;1#_x000D_</oddHeader>
    <oddFooter>&amp;C_x000D_&amp;1#&amp;"Calibri"&amp;10&amp;K000000 Protected External-Protégé Externe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c G A A B Q S w M E F A A C A A g A Y 1 T a W h U H 1 F S j A A A A 9 g A A A B I A H A B D b 2 5 m a W c v U G F j a 2 F n Z S 5 4 b W w g o h g A K K A U A A A A A A A A A A A A A A A A A A A A A A A A A A A A h Y 9 B D o I w F E S v Q r q n h b I h 5 F N j 2 E p i Y m L c N q V C I 3 w M L Z a 7 u f B I X k G M o u 5 c z p u 3 m L l f b 7 C a u j a 4 6 M G a H n M S 0 4 g E G l V f G a x z M r p j m J K V g K 1 U J 1 n r Y J b R Z p O t c t I 4 d 8 4 Y 8 9 5 T n 9 B + q B m P o p g d y s 1 O N b q T 5 C O b / 3 J o 0 D q J S h M B + 9 c Y w W m c c J r w l E b A F g i l w a / A 5 7 3 P 9 g d C M b Z u H L T Q G B Z r Y E s E 9 v 4 g H l B L A w Q U A A I A C A B j V N p 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1 T a W u + 4 m b c i A w A A 0 w 8 A A B M A H A B G b 3 J t d W x h c y 9 T Z W N 0 a W 9 u M S 5 t I K I Y A C i g F A A A A A A A A A A A A A A A A A A A A A A A A A A A A O V V Q W / a M B S + I / E f o u x C J Y Q K 2 n Z Y t Q O i 6 9 b t 0 h W 2 H U q F T P I C X h 0 7 s p 0 W V v W / 7 z m B Q E K c B K 1 T J + 2 U O O 9 7 z + / Z 3 / d F g a e p 4 M 4 4 f f b P 2 q 1 2 S y 2 J B N / 5 N L x w 3 j s M d L v l O G M R S w 9 w / W H l A e v 9 E P J u L s R d 5 4 I y 6 I 0 E 1 8 C 1 6 r i j d 9 N v C q S a E s E I l / A w P R c P n A n i q + n n m I M z O B 2 8 m Z 4 T T R T o 3 o q p l X v S d X j M W N f R M g Z c m N 1 w 6 9 l 4 C a B x w 3 T n x 5 t L D S E u X Y y 5 X e c L 5 b 5 Z J S j 3 9 u n G 1 L x N s 1 + 5 V 1 K E Q p s Z g P j Y T t 9 F 7 I T M s d d N a B P o Z D t 1 n Z t N a M j Y 2 C O M S I V J p q n b k 2 3 d 0 Z L w B Z a d r C P Y q z m R h K t A y H A k W B x y E 1 U d k 1 H e S 1 r N c R 7 T B 7 6 4 X r j 0 Z i S K G P W I u Q g J A U j g H v A 4 n I M c Y M 4 l 1 2 9 f 9 0 z t p 2 2 B L F M L T Z g n l E a c R o R D + P o Q F S s Q Q R B z X y X 4 h l i 8 R 7 8 h V I l A m y 5 U Q z z y z K / H E 8 Y E n g o g l G t J 5 7 E 5 o E h k S e k R H e Z x E s I M + B a m Y a U P Q Z E U P 5 H 7 m m o G 1 c g w 5 t S j E W F U r 0 1 p K 1 p p o m P l C b 9 + d w g C I 7 x 7 I A s J E K K G f B x 0 m 2 P e N Q 1 L 7 p t 4 n o i 5 p v 6 W M 1 x X b 1 S S U D n D 9 m w i w b E p I R e E 0 1 8 J M x k s C D O 5 9 y B p Q M G v r n G V n i / 4 + L K Q J L w 0 n M b l 9 0 3 2 V 7 2 2 c 7 t / O l s D k T M 8 + Y Q j 9 R L A N x K a S e v I M d x p b a w l k N B U H T W 5 s + x U D K Y e r S N J h U T O 9 K 3 A I e f Y s l d x l O O E U s 4 1 E I V m / V G K O C q g U 2 z y y N z q G k J x j 8 a T u p L a + V U a 2 H z O j C p v b g c m d e g 0 + c i h u 9 j i G 0 e x h f d d x I b Z O U f 5 4 E K i 1 Z a P n o S K s x e P y j J 9 t U P n s T v 7 y X 8 v O E 5 h A 7 v X 5 Y E l b p Q B i g a U z 7 R 6 T q G T U o u p x R R 7 O c 5 I 8 m n N v C P L K b p F G X H 3 / S E f r z E E y 0 A 7 D y g A c r L P Y v t K z z 6 W i 7 u B o P s 2 R Z c p o F v 1 7 3 i y S 6 d / r H a s 1 v H X x V O l i T + k / n P S u p Y 8 x 1 G x n G l W D 7 D 9 S l 5 Q e k 1 M b 6 e c B s I Y H C G M f q U y k n u v U M f g W H U M X k w d / w R b n 0 u i / z X r 2 y 3 K r X w 8 + w 1 Q S w E C L Q A U A A I A C A B j V N p a F Q f U V K M A A A D 2 A A A A E g A A A A A A A A A A A A A A A A A A A A A A Q 2 9 u Z m l n L 1 B h Y 2 t h Z 2 U u e G 1 s U E s B A i 0 A F A A C A A g A Y 1 T a W g / K 6 a u k A A A A 6 Q A A A B M A A A A A A A A A A A A A A A A A 7 w A A A F t D b 2 5 0 Z W 5 0 X 1 R 5 c G V z X S 5 4 b W x Q S w E C L Q A U A A I A C A B j V N p a 7 7 i Z t y I D A A D T D w A A E w A A A A A A A A A A A A A A A A D g A Q A A R m 9 y b X V s Y X M v U 2 V j d G l v b j E u b V B L B Q Y A A A A A A w A D A M I A A A B P 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G A A A A A A A A K Q Y 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E F G P C 9 J d G V t U G F 0 a D 4 8 L 0 l 0 Z W 1 M b 2 N h d G l v b j 4 8 U 3 R h Y m x l R W 5 0 c m l l c z 4 8 R W 5 0 c n k g V H l w Z T 0 i S X N Q c m l 2 Y X R l I i B W Y W x 1 Z T 0 i b D A i I C 8 + P E V u d H J 5 I F R 5 c G U 9 I l F 1 Z X J 5 S U Q i I F Z h b H V l P S J z Y 2 E x N z k z N j M t M m Q x Y S 0 0 Z m M z L T h k N 2 M t M z A z M 2 U x O T h m Y T Q 5 I i A v P j x F b n R y e S B U e X B l P S J G a W x s R W 5 h Y m x l Z C I g V m F s d W U 9 I m w x 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R m l s b F R v R G F 0 Y U 1 v Z G V s R W 5 h Y m x l Z C I g V m F s d W U 9 I m w w I i A v P j x F b n R y e S B U e X B l P S J G a W x s T 2 J q Z W N 0 V H l w Z S I g V m F s d W U 9 I n N U Y W J s Z S I g L z 4 8 R W 5 0 c n k g V H l w Z T 0 i R m l s b E x h c 3 R V c G R h d G V k I i B W Y W x 1 Z T 0 i Z D I w M j U t M D Y t M T d U M T U 6 N D c 6 N D Q u N D k 3 N z Y 1 N 1 o i I C 8 + P E V u d H J 5 I F R 5 c G U 9 I k Z p b G x U Y X J n Z X Q i I F Z h b H V l P S J z S E F G I i A v P j x F b n R y e S B U e X B l P S J M b 2 F k Z W R U b 0 F u Y W x 5 c 2 l z U 2 V y d m l j Z X M i I F Z h b H V l P S J s M C I g L z 4 8 R W 5 0 c n k g V H l w Z T 0 i R m l s b E N v b H V t b l R 5 c G V z I i B W Y W x 1 Z T 0 i c 0 F 3 W U d C Z 1 l B Q m d Z S E J n W U d B d 0 1 G Q l F Z P S I g L z 4 8 R W 5 0 c n k g V H l w Z T 0 i R m l s b E N v b H V t b k 5 h b W V z I i B W Y W x 1 Z T 0 i c 1 s m c X V v d D t j b W h j X 2 F w c G x p Y 2 F 0 a W 9 u c m V m Z X J l b m N l b n V t Y m V y M i Z x d W 9 0 O y w m c X V v d D t j b W h j X 2 5 h b W V f Z W 4 m c X V v d D s s J n F 1 b 3 Q 7 Y 2 1 o Y 1 9 w c m 9 q Z W N 0 d G l 0 b G U m c X V v d D s s J n F 1 b 3 Q 7 Y 2 1 o Y 1 9 w c m 9 w b 2 5 l b n R v c m d h b m l 6 Y X R p b 2 5 s Z W d h b G 5 h b W V 2 Z X J p Z m l l Z C Z x d W 9 0 O y w m c X V v d D t j b W h j X 3 B y b 3 B v b m V u d H R 5 c G V f Z W 4 m c X V v d D s s J n F 1 b 3 Q 7 U H J v d m l u Y 2 U m c X V v d D s s J n F 1 b 3 Q 7 Y 2 1 o Y 1 9 B c H B s a W N h d G l v b l N 0 c m V h b V R 5 c G V D b 2 R l X 2 V u J n F 1 b 3 Q 7 L C Z x d W 9 0 O 2 N t a G N f b X V u a W N p c G F s a X R 5 b m F t Z S Z x d W 9 0 O y w m c X V v d D t j b W h j X 2 V m Z m V j d G l 2 Z W F n c m V l b W V u d G R h d G U m c X V v d D s s J n F 1 b 3 Q 7 Y 2 1 o Y 1 9 w d H B y a W 9 y a X R 5 M S Z x d W 9 0 O y w m c X V v d D t z d G F 0 d X N j b 2 R l X 2 V u J n F 1 b 3 Q 7 L C Z x d W 9 0 O 1 N 0 Y X R 1 c y B S Z W F z b 2 4 g R 3 J v d X B l Z C Z x d W 9 0 O y w m c X V v d D t j b W h j X 1 B y b 2 p l Y 3 R l Z F B y b 2 d y Y W 1 J b m N l b n R l Z F Z l c m l m a W V k U X R 5 J n F 1 b 3 Q 7 L C Z x d W 9 0 O z E w X 3 l l Y X J f d W 5 p d H M m c X V v d D s s J n F 1 b 3 Q 7 Y 2 1 o Y 1 9 0 b 3 R h b G N t a G N h b W 9 1 b n Q m c X V v d D s s J n F 1 b 3 Q 7 Y 2 1 o Y 1 9 h b G x v Y 2 F 0 Z W R j b 2 5 0 c m l i d X R p b 2 5 w b 3 M m c X V v d D s s J n F 1 b 3 Q 7 Q W 5 u b 3 V u Y 2 V k J n F 1 b 3 Q 7 X S I g L z 4 8 R W 5 0 c n k g V H l w Z T 0 i R m l s b E V y c m 9 y Q 2 9 1 b n Q i I F Z h b H V l P S J s M C I g L z 4 8 R W 5 0 c n k g V H l w Z T 0 i U m V j b 3 Z l c n l U Y X J n Z X R T a G V l d C I g V m F s d W U 9 I n N I Q U Y i I C 8 + P E V u d H J 5 I F R 5 c G U 9 I l J l Y 2 9 2 Z X J 5 V G F y Z 2 V 0 Q 2 9 s d W 1 u I i B W Y W x 1 Z T 0 i b D E i I C 8 + P E V u d H J 5 I F R 5 c G U 9 I l J l Y 2 9 2 Z X J 5 V G F y Z 2 V 0 U m 9 3 I i B W Y W x 1 Z T 0 i b D E i I C 8 + P E V u d H J 5 I F R 5 c G U 9 I k Z p b G x T d G F 0 d X M i I F Z h b H V l P S J z V 2 F p d G l u Z 0 Z v c k V 4 Y 2 V s U m V m c m V z a C I g L z 4 8 R W 5 0 c n k g V H l w Z T 0 i R m l s b E V y c m 9 y Q 2 9 k Z S I g V m F s d W U 9 I n N V b m t u b 3 d u I i A v P j x F b n R y e S B U e X B l P S J G a W x s Q 2 9 1 b n Q i I F Z h b H V l P S J s M C I g L z 4 8 R W 5 0 c n k g V H l w Z T 0 i Q W R k Z W R U b 0 R h d G F N b 2 R l b C I g V m F s d W U 9 I m w w I i A v P j x F b n R y e S B U e X B l P S J S Z W x h d G l v b n N o a X B J b m Z v Q 2 9 u d G F p b m V y I i B W Y W x 1 Z T 0 i c 3 s m c X V v d D t j b 2 x 1 b W 5 D b 3 V u d C Z x d W 9 0 O z o x N y w m c X V v d D t r Z X l D b 2 x 1 b W 5 O Y W 1 l c y Z x d W 9 0 O z p b X S w m c X V v d D t x d W V y e V J l b G F 0 a W 9 u c 2 h p c H M m c X V v d D s 6 W 1 0 s J n F 1 b 3 Q 7 Y 2 9 s d W 1 u S W R l b n R p d G l l c y Z x d W 9 0 O z p b J n F 1 b 3 Q 7 U 2 V j d G l v b j E v S E F G L 0 F 1 d G 9 S Z W 1 v d m V k Q 2 9 s d W 1 u c z E u e 2 N t a G N f Y X B w b G l j Y X R p b 2 5 y Z W Z l c m V u Y 2 V u d W 1 i Z X I y L D B 9 J n F 1 b 3 Q 7 L C Z x d W 9 0 O 1 N l Y 3 R p b 2 4 x L 0 h B R i 9 B d X R v U m V t b 3 Z l Z E N v b H V t b n M x L n t j b W h j X 2 5 h b W V f Z W 4 s M X 0 m c X V v d D s s J n F 1 b 3 Q 7 U 2 V j d G l v b j E v S E F G L 0 F 1 d G 9 S Z W 1 v d m V k Q 2 9 s d W 1 u c z E u e 2 N t a G N f c H J v a m V j d H R p d G x l L D J 9 J n F 1 b 3 Q 7 L C Z x d W 9 0 O 1 N l Y 3 R p b 2 4 x L 0 h B R i 9 B d X R v U m V t b 3 Z l Z E N v b H V t b n M x L n t j b W h j X 3 B y b 3 B v b m V u d G 9 y Z 2 F u a X p h d G l v b m x l Z 2 F s b m F t Z X Z l c m l m a W V k L D N 9 J n F 1 b 3 Q 7 L C Z x d W 9 0 O 1 N l Y 3 R p b 2 4 x L 0 h B R i 9 B d X R v U m V t b 3 Z l Z E N v b H V t b n M x L n t j b W h j X 3 B y b 3 B v b m V u d H R 5 c G V f Z W 4 s N H 0 m c X V v d D s s J n F 1 b 3 Q 7 U 2 V j d G l v b j E v S E F G L 0 F 1 d G 9 S Z W 1 v d m V k Q 2 9 s d W 1 u c z E u e 1 B y b 3 Z p b m N l L D V 9 J n F 1 b 3 Q 7 L C Z x d W 9 0 O 1 N l Y 3 R p b 2 4 x L 0 h B R i 9 B d X R v U m V t b 3 Z l Z E N v b H V t b n M x L n t j b W h j X 0 F w c G x p Y 2 F 0 a W 9 u U 3 R y Z W F t V H l w Z U N v Z G V f Z W 4 s N n 0 m c X V v d D s s J n F 1 b 3 Q 7 U 2 V j d G l v b j E v S E F G L 0 F 1 d G 9 S Z W 1 v d m V k Q 2 9 s d W 1 u c z E u e 2 N t a G N f b X V u a W N p c G F s a X R 5 b m F t Z S w 3 f S Z x d W 9 0 O y w m c X V v d D t T Z W N 0 a W 9 u M S 9 I Q U Y v Q X V 0 b 1 J l b W 9 2 Z W R D b 2 x 1 b W 5 z M S 5 7 Y 2 1 o Y 1 9 l Z m Z l Y 3 R p d m V h Z 3 J l Z W 1 l b n R k Y X R l L D h 9 J n F 1 b 3 Q 7 L C Z x d W 9 0 O 1 N l Y 3 R p b 2 4 x L 0 h B R i 9 B d X R v U m V t b 3 Z l Z E N v b H V t b n M x L n t j b W h j X 3 B 0 c H J p b 3 J p d H k x L D l 9 J n F 1 b 3 Q 7 L C Z x d W 9 0 O 1 N l Y 3 R p b 2 4 x L 0 h B R i 9 B d X R v U m V t b 3 Z l Z E N v b H V t b n M x L n t z d G F 0 d X N j b 2 R l X 2 V u L D E w f S Z x d W 9 0 O y w m c X V v d D t T Z W N 0 a W 9 u M S 9 I Q U Y v Q X V 0 b 1 J l b W 9 2 Z W R D b 2 x 1 b W 5 z M S 5 7 U 3 R h d H V z I F J l Y X N v b i B H c m 9 1 c G V k L D E x f S Z x d W 9 0 O y w m c X V v d D t T Z W N 0 a W 9 u M S 9 I Q U Y v Q X V 0 b 1 J l b W 9 2 Z W R D b 2 x 1 b W 5 z M S 5 7 Y 2 1 o Y 1 9 Q c m 9 q Z W N 0 Z W R Q c m 9 n c m F t S W 5 j Z W 5 0 Z W R W Z X J p Z m l l Z F F 0 e S w x M n 0 m c X V v d D s s J n F 1 b 3 Q 7 U 2 V j d G l v b j E v S E F G L 0 F 1 d G 9 S Z W 1 v d m V k Q 2 9 s d W 1 u c z E u e z E w X 3 l l Y X J f d W 5 p d H M s M T N 9 J n F 1 b 3 Q 7 L C Z x d W 9 0 O 1 N l Y 3 R p b 2 4 x L 0 h B R i 9 B d X R v U m V t b 3 Z l Z E N v b H V t b n M x L n t j b W h j X 3 R v d G F s Y 2 1 o Y 2 F t b 3 V u d C w x N H 0 m c X V v d D s s J n F 1 b 3 Q 7 U 2 V j d G l v b j E v S E F G L 0 F 1 d G 9 S Z W 1 v d m V k Q 2 9 s d W 1 u c z E u e 2 N t a G N f Y W x s b 2 N h d G V k Y 2 9 u d H J p Y n V 0 a W 9 u c G 9 z L D E 1 f S Z x d W 9 0 O y w m c X V v d D t T Z W N 0 a W 9 u M S 9 I Q U Y v Q X V 0 b 1 J l b W 9 2 Z W R D b 2 x 1 b W 5 z M S 5 7 Q W 5 u b 3 V u Y 2 V k L D E 2 f S Z x d W 9 0 O 1 0 s J n F 1 b 3 Q 7 Q 2 9 s d W 1 u Q 2 9 1 b n Q m c X V v d D s 6 M T c s J n F 1 b 3 Q 7 S 2 V 5 Q 2 9 s d W 1 u T m F t Z X M m c X V v d D s 6 W 1 0 s J n F 1 b 3 Q 7 Q 2 9 s d W 1 u S W R l b n R p d G l l c y Z x d W 9 0 O z p b J n F 1 b 3 Q 7 U 2 V j d G l v b j E v S E F G L 0 F 1 d G 9 S Z W 1 v d m V k Q 2 9 s d W 1 u c z E u e 2 N t a G N f Y X B w b G l j Y X R p b 2 5 y Z W Z l c m V u Y 2 V u d W 1 i Z X I y L D B 9 J n F 1 b 3 Q 7 L C Z x d W 9 0 O 1 N l Y 3 R p b 2 4 x L 0 h B R i 9 B d X R v U m V t b 3 Z l Z E N v b H V t b n M x L n t j b W h j X 2 5 h b W V f Z W 4 s M X 0 m c X V v d D s s J n F 1 b 3 Q 7 U 2 V j d G l v b j E v S E F G L 0 F 1 d G 9 S Z W 1 v d m V k Q 2 9 s d W 1 u c z E u e 2 N t a G N f c H J v a m V j d H R p d G x l L D J 9 J n F 1 b 3 Q 7 L C Z x d W 9 0 O 1 N l Y 3 R p b 2 4 x L 0 h B R i 9 B d X R v U m V t b 3 Z l Z E N v b H V t b n M x L n t j b W h j X 3 B y b 3 B v b m V u d G 9 y Z 2 F u a X p h d G l v b m x l Z 2 F s b m F t Z X Z l c m l m a W V k L D N 9 J n F 1 b 3 Q 7 L C Z x d W 9 0 O 1 N l Y 3 R p b 2 4 x L 0 h B R i 9 B d X R v U m V t b 3 Z l Z E N v b H V t b n M x L n t j b W h j X 3 B y b 3 B v b m V u d H R 5 c G V f Z W 4 s N H 0 m c X V v d D s s J n F 1 b 3 Q 7 U 2 V j d G l v b j E v S E F G L 0 F 1 d G 9 S Z W 1 v d m V k Q 2 9 s d W 1 u c z E u e 1 B y b 3 Z p b m N l L D V 9 J n F 1 b 3 Q 7 L C Z x d W 9 0 O 1 N l Y 3 R p b 2 4 x L 0 h B R i 9 B d X R v U m V t b 3 Z l Z E N v b H V t b n M x L n t j b W h j X 0 F w c G x p Y 2 F 0 a W 9 u U 3 R y Z W F t V H l w Z U N v Z G V f Z W 4 s N n 0 m c X V v d D s s J n F 1 b 3 Q 7 U 2 V j d G l v b j E v S E F G L 0 F 1 d G 9 S Z W 1 v d m V k Q 2 9 s d W 1 u c z E u e 2 N t a G N f b X V u a W N p c G F s a X R 5 b m F t Z S w 3 f S Z x d W 9 0 O y w m c X V v d D t T Z W N 0 a W 9 u M S 9 I Q U Y v Q X V 0 b 1 J l b W 9 2 Z W R D b 2 x 1 b W 5 z M S 5 7 Y 2 1 o Y 1 9 l Z m Z l Y 3 R p d m V h Z 3 J l Z W 1 l b n R k Y X R l L D h 9 J n F 1 b 3 Q 7 L C Z x d W 9 0 O 1 N l Y 3 R p b 2 4 x L 0 h B R i 9 B d X R v U m V t b 3 Z l Z E N v b H V t b n M x L n t j b W h j X 3 B 0 c H J p b 3 J p d H k x L D l 9 J n F 1 b 3 Q 7 L C Z x d W 9 0 O 1 N l Y 3 R p b 2 4 x L 0 h B R i 9 B d X R v U m V t b 3 Z l Z E N v b H V t b n M x L n t z d G F 0 d X N j b 2 R l X 2 V u L D E w f S Z x d W 9 0 O y w m c X V v d D t T Z W N 0 a W 9 u M S 9 I Q U Y v Q X V 0 b 1 J l b W 9 2 Z W R D b 2 x 1 b W 5 z M S 5 7 U 3 R h d H V z I F J l Y X N v b i B H c m 9 1 c G V k L D E x f S Z x d W 9 0 O y w m c X V v d D t T Z W N 0 a W 9 u M S 9 I Q U Y v Q X V 0 b 1 J l b W 9 2 Z W R D b 2 x 1 b W 5 z M S 5 7 Y 2 1 o Y 1 9 Q c m 9 q Z W N 0 Z W R Q c m 9 n c m F t S W 5 j Z W 5 0 Z W R W Z X J p Z m l l Z F F 0 e S w x M n 0 m c X V v d D s s J n F 1 b 3 Q 7 U 2 V j d G l v b j E v S E F G L 0 F 1 d G 9 S Z W 1 v d m V k Q 2 9 s d W 1 u c z E u e z E w X 3 l l Y X J f d W 5 p d H M s M T N 9 J n F 1 b 3 Q 7 L C Z x d W 9 0 O 1 N l Y 3 R p b 2 4 x L 0 h B R i 9 B d X R v U m V t b 3 Z l Z E N v b H V t b n M x L n t j b W h j X 3 R v d G F s Y 2 1 o Y 2 F t b 3 V u d C w x N H 0 m c X V v d D s s J n F 1 b 3 Q 7 U 2 V j d G l v b j E v S E F G L 0 F 1 d G 9 S Z W 1 v d m V k Q 2 9 s d W 1 u c z E u e 2 N t a G N f Y W x s b 2 N h d G V k Y 2 9 u d H J p Y n V 0 a W 9 u c G 9 z L D E 1 f S Z x d W 9 0 O y w m c X V v d D t T Z W N 0 a W 9 u M S 9 I Q U Y v Q X V 0 b 1 J l b W 9 2 Z W R D b 2 x 1 b W 5 z M S 5 7 Q W 5 u b 3 V u Y 2 V k L D E 2 f S Z x d W 9 0 O 1 0 s J n F 1 b 3 Q 7 U m V s Y X R p b 2 5 z a G l w S W 5 m b y Z x d W 9 0 O z p b X X 0 i I C 8 + P C 9 T d G F i b G V F b n R y a W V z P j w v S X R l b T 4 8 S X R l b T 4 8 S X R l b U x v Y 2 F 0 a W 9 u P j x J d G V t V H l w Z T 5 G b 3 J t d W x h P C 9 J d G V t V H l w Z T 4 8 S X R l b V B h d G g + U 2 V j d G l v b j E v S E F G L 1 N v d X J j Z T w v S X R l b V B h d G g + P C 9 J d G V t T G 9 j Y X R p b 2 4 + P F N 0 Y W J s Z U V u d H J p Z X M g L z 4 8 L 0 l 0 Z W 0 + P E l 0 Z W 0 + P E l 0 Z W 1 M b 2 N h d G l v b j 4 8 S X R l b V R 5 c G U + R m 9 y b X V s Y T w v S X R l b V R 5 c G U + P E l 0 Z W 1 Q Y X R o P l N l Y 3 R p b 2 4 x L 0 h B R i 9 I Q U Z f U 2 h l Z X Q 8 L 0 l 0 Z W 1 Q Y X R o P j w v S X R l b U x v Y 2 F 0 a W 9 u P j x T d G F i b G V F b n R y a W V z I C 8 + P C 9 J d G V t P j x J d G V t P j x J d G V t T G 9 j Y X R p b 2 4 + P E l 0 Z W 1 U e X B l P k Z v c m 1 1 b G E 8 L 0 l 0 Z W 1 U e X B l P j x J d G V t U G F 0 a D 5 T Z W N 0 a W 9 u M S 9 I Q U Y v U H J v b W 9 0 Z W Q l M j B I Z W F k Z X J z M T w v S X R l b V B h d G g + P C 9 J d G V t T G 9 j Y X R p b 2 4 + P F N 0 Y W J s Z U V u d H J p Z X M g L z 4 8 L 0 l 0 Z W 0 + P E l 0 Z W 0 + P E l 0 Z W 1 M b 2 N h d G l v b j 4 8 S X R l b V R 5 c G U + R m 9 y b X V s Y T w v S X R l b V R 5 c G U + P E l 0 Z W 1 Q Y X R o P l N l Y 3 R p b 2 4 x L 0 h B R i 9 D a G F u Z 2 V k J T I w V H l w Z T E 8 L 0 l 0 Z W 1 Q Y X R o P j w v S X R l b U x v Y 2 F 0 a W 9 u P j x T d G F i b G V F b n R y a W V z I C 8 + P C 9 J d G V t P j x J d G V t P j x J d G V t T G 9 j Y X R p b 2 4 + P E l 0 Z W 1 U e X B l P k Z v c m 1 1 b G E 8 L 0 l 0 Z W 1 U e X B l P j x J d G V t U G F 0 a D 5 T Z W N 0 a W 9 u M S 9 I Q U Y v U m V t b 3 Z l Z C U y M E N v b H V t b n M 8 L 0 l 0 Z W 1 Q Y X R o P j w v S X R l b U x v Y 2 F 0 a W 9 u P j x T d G F i b G V F b n R y a W V z I C 8 + P C 9 J d G V t P j x J d G V t P j x J d G V t T G 9 j Y X R p b 2 4 + P E l 0 Z W 1 U e X B l P k Z v c m 1 1 b G E 8 L 0 l 0 Z W 1 U e X B l P j x J d G V t U G F 0 a D 5 T Z W N 0 a W 9 u M S 9 I Q U Y v U m V v c m R l c m V k J T I w Q 2 9 s d W 1 u c z w v S X R l b V B h d G g + P C 9 J d G V t T G 9 j Y X R p b 2 4 + P F N 0 Y W J s Z U V u d H J p Z X M g L z 4 8 L 0 l 0 Z W 0 + P E l 0 Z W 0 + P E l 0 Z W 1 M b 2 N h d G l v b j 4 8 S X R l b V R 5 c G U + R m 9 y b X V s Y T w v S X R l b V R 5 c G U + P E l 0 Z W 1 Q Y X R o P l N l Y 3 R p b 2 4 x L 0 h B R i 9 S Z W 1 v d m V k J T I w Q 2 9 s d W 1 u c z E 8 L 0 l 0 Z W 1 Q Y X R o P j w v S X R l b U x v Y 2 F 0 a W 9 u P j x T d G F i b G V F b n R y a W V z I C 8 + P C 9 J d G V t P j x J d G V t P j x J d G V t T G 9 j Y X R p b 2 4 + P E l 0 Z W 1 U e X B l P k Z v c m 1 1 b G E 8 L 0 l 0 Z W 1 U e X B l P j x J d G V t U G F 0 a D 5 T Z W N 0 a W 9 u M S 9 I Q U Y v U m V v c m R l c m V k J T I w Q 2 9 s d W 1 u c z E 8 L 0 l 0 Z W 1 Q Y X R o P j w v S X R l b U x v Y 2 F 0 a W 9 u P j x T d G F i b G V F b n R y a W V z I C 8 + P C 9 J d G V t P j x J d G V t P j x J d G V t T G 9 j Y X R p b 2 4 + P E l 0 Z W 1 U e X B l P k Z v c m 1 1 b G E 8 L 0 l 0 Z W 1 U e X B l P j x J d G V t U G F 0 a D 5 T Z W N 0 a W 9 u M S 9 I Q U Y v U m V t b 3 Z l Z C U y M E N v b H V t b n M y P C 9 J d G V t U G F 0 a D 4 8 L 0 l 0 Z W 1 M b 2 N h d G l v b j 4 8 U 3 R h Y m x l R W 5 0 c m l l c y A v P j w v S X R l b T 4 8 S X R l b T 4 8 S X R l b U x v Y 2 F 0 a W 9 u P j x J d G V t V H l w Z T 5 G b 3 J t d W x h P C 9 J d G V t V H l w Z T 4 8 S X R l b V B h d G g + U 2 V j d G l v b j E v S E F G L 1 J l b 3 J k Z X J l Z C U y M E N v b H V t b n M y P C 9 J d G V t U G F 0 a D 4 8 L 0 l 0 Z W 1 M b 2 N h d G l v b j 4 8 U 3 R h Y m x l R W 5 0 c m l l c y A v P j w v S X R l b T 4 8 L 0 l 0 Z W 1 z P j w v T G 9 j Y W x Q Y W N r Y W d l T W V 0 Y W R h d G F G a W x l P h Y A A A B Q S w U G A A A A A A A A A A A A A A A A A A A A A A A A 2 g A A A A E A A A D Q j J 3 f A R X R E Y x 6 A M B P w p f r A Q A A A H + Y E X V s p C Z C l P N F 8 O O o k a E A A A A A A g A A A A A A A 2 Y A A M A A A A A Q A A A A i r l 9 Q 1 M Z 5 m A z O + Y v c q k P X Q A A A A A E g A A A o A A A A B A A A A C x 5 K S V q m / h X P / a i f S Q 7 r o j U A A A A F l u / n f f k 3 v m n j t Z A k u + T M J m i Z 5 J O 3 + m + 8 S 8 v r L D e C Z x r Y j u E f X m 7 h s j q 0 9 F a + B 6 P x w C 9 f 5 T n A E 2 D 8 9 S M p 0 C q X C 2 E K l / X 2 2 E O r K Z t z D F z e n X F A A A A D / F w t E 4 V x 8 H M t r I U M B x I C p t U l w G < / D a t a M a s h u p > 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2BB8BC9C06F3F49AF590145FB4DB831" ma:contentTypeVersion="11" ma:contentTypeDescription="Create a new document." ma:contentTypeScope="" ma:versionID="f3ab005ce4c1e5b80289065b593e6f07">
  <xsd:schema xmlns:xsd="http://www.w3.org/2001/XMLSchema" xmlns:xs="http://www.w3.org/2001/XMLSchema" xmlns:p="http://schemas.microsoft.com/office/2006/metadata/properties" xmlns:ns1="http://schemas.microsoft.com/sharepoint/v3" xmlns:ns2="9cf07b87-b0df-41f8-a478-c07fea74fb33" targetNamespace="http://schemas.microsoft.com/office/2006/metadata/properties" ma:root="true" ma:fieldsID="635526b3a72358df7938708a0126d47c" ns1:_="" ns2:_="">
    <xsd:import namespace="http://schemas.microsoft.com/sharepoint/v3"/>
    <xsd:import namespace="9cf07b87-b0df-41f8-a478-c07fea74fb33"/>
    <xsd:element name="properties">
      <xsd:complexType>
        <xsd:sequence>
          <xsd:element name="documentManagement">
            <xsd:complexType>
              <xsd:all>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f07b87-b0df-41f8-a478-c07fea74fb33"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651DEF-5BF6-4C2C-928D-937C5C3C7101}">
  <ds:schemaRefs>
    <ds:schemaRef ds:uri="http://schemas.microsoft.com/DataMashup"/>
  </ds:schemaRefs>
</ds:datastoreItem>
</file>

<file path=customXml/itemProps2.xml><?xml version="1.0" encoding="utf-8"?>
<ds:datastoreItem xmlns:ds="http://schemas.openxmlformats.org/officeDocument/2006/customXml" ds:itemID="{EAD488D3-D4D2-4B12-BEC3-F99B0CA34B26}">
  <ds:schemaRefs>
    <ds:schemaRef ds:uri="9cf07b87-b0df-41f8-a478-c07fea74fb33"/>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http://schemas.microsoft.com/sharepoint/v3"/>
  </ds:schemaRefs>
</ds:datastoreItem>
</file>

<file path=customXml/itemProps3.xml><?xml version="1.0" encoding="utf-8"?>
<ds:datastoreItem xmlns:ds="http://schemas.openxmlformats.org/officeDocument/2006/customXml" ds:itemID="{EFB22322-711F-4047-91EF-644955D3E4EA}">
  <ds:schemaRefs>
    <ds:schemaRef ds:uri="http://schemas.microsoft.com/sharepoint/v3/contenttype/forms"/>
  </ds:schemaRefs>
</ds:datastoreItem>
</file>

<file path=customXml/itemProps4.xml><?xml version="1.0" encoding="utf-8"?>
<ds:datastoreItem xmlns:ds="http://schemas.openxmlformats.org/officeDocument/2006/customXml" ds:itemID="{D6C13F50-36CD-453B-8F97-094EA23D0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f07b87-b0df-41f8-a478-c07fea74fb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cc8ad0b-a31c-418f-b944-b1763ed17eb2}"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All approved applications</vt:lpstr>
      <vt:lpstr>Approved HAF 1 - updated</vt:lpstr>
      <vt:lpstr>Approved HAF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Hamel Laberge, Marie-Eve : PBO-DPB</dc:creator>
  <cp:keywords/>
  <dc:description/>
  <cp:lastModifiedBy>Hamel Laberge, Marie-Eve : PBO-DPB</cp:lastModifiedBy>
  <cp:revision/>
  <dcterms:created xsi:type="dcterms:W3CDTF">2025-03-20T19:09:00Z</dcterms:created>
  <dcterms:modified xsi:type="dcterms:W3CDTF">2025-07-17T12:02:24Z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0x01010092BB8BC9C06F3F49AF590145FB4DB831</vt:lpwstr>
  </property>
  <property fmtid="{D5CDD505-2E9C-101B-9397-08002B2CF9AE}" pid="3" name="p8d4f4b4af6c4943adc039879750ddf3">
    <vt:lpwstr>In Progress|aa03d7cb-f77d-4e8c-8d9b-72726258891a</vt:lpwstr>
  </property>
  <property fmtid="{D5CDD505-2E9C-101B-9397-08002B2CF9AE}" pid="4" name="TaxCatchAll">
    <vt:lpwstr>5;#In Progress|aa03d7cb-f77d-4e8c-8d9b-72726258891a;#18;#PA - Parliamentary Affairs|dd542011-cb9d-469c-8114-f27f71da64a7</vt:lpwstr>
  </property>
  <property fmtid="{D5CDD505-2E9C-101B-9397-08002B2CF9AE}" pid="5" name="DocketType">
    <vt:lpwstr>18</vt:lpwstr>
  </property>
  <property fmtid="{D5CDD505-2E9C-101B-9397-08002B2CF9AE}" pid="6" name="DocketDueDate">
    <vt:filetime>2025-02-12T05:00:00Z</vt:filetime>
  </property>
  <property fmtid="{D5CDD505-2E9C-101B-9397-08002B2CF9AE}" pid="7" name="DocketStatus">
    <vt:lpwstr>Closed</vt:lpwstr>
  </property>
  <property fmtid="{D5CDD505-2E9C-101B-9397-08002B2CF9AE}" pid="8" name="j9d9edc6eae6403dbda41c481561f5e1">
    <vt:lpwstr>PA - Parliamentary Affairs|dd542011-cb9d-469c-8114-f27f71da64a7</vt:lpwstr>
  </property>
  <property fmtid="{D5CDD505-2E9C-101B-9397-08002B2CF9AE}" pid="9" name="DocketLead">
    <vt:lpwstr>36</vt:lpwstr>
  </property>
  <property fmtid="{D5CDD505-2E9C-101B-9397-08002B2CF9AE}" pid="10" name="DocketId">
    <vt:lpwstr>PA258673</vt:lpwstr>
  </property>
  <property fmtid="{D5CDD505-2E9C-101B-9397-08002B2CF9AE}" pid="11" name="Business_x0020_Sector">
    <vt:lpwstr/>
  </property>
  <property fmtid="{D5CDD505-2E9C-101B-9397-08002B2CF9AE}" pid="12" name="DocketWorkStatus">
    <vt:lpwstr>5;#In Progress|aa03d7cb-f77d-4e8c-8d9b-72726258891a</vt:lpwstr>
  </property>
  <property fmtid="{D5CDD505-2E9C-101B-9397-08002B2CF9AE}" pid="13" name="pe9af13a2b1f4b4a91b1ad5569837d70">
    <vt:lpwstr/>
  </property>
  <property fmtid="{D5CDD505-2E9C-101B-9397-08002B2CF9AE}" pid="14" name="Business Sector">
    <vt:lpwstr/>
  </property>
</Properties>
</file>