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oc-cdc.ca\AdminPrivate\FS06U\HamelMa\Desktop\En traduction\"/>
    </mc:Choice>
  </mc:AlternateContent>
  <xr:revisionPtr revIDLastSave="0" documentId="8_{DA59DE66-6083-4ED5-8AB1-5D43236A6D7C}" xr6:coauthVersionLast="46" xr6:coauthVersionMax="46" xr10:uidLastSave="{00000000-0000-0000-0000-000000000000}"/>
  <bookViews>
    <workbookView xWindow="-28920" yWindow="-120" windowWidth="29040" windowHeight="15840" activeTab="4" xr2:uid="{00000000-000D-0000-FFFF-FFFF00000000}"/>
  </bookViews>
  <sheets>
    <sheet name="Readme" sheetId="18" r:id="rId1"/>
    <sheet name="Model Inputs" sheetId="12" r:id="rId2"/>
    <sheet name="Estimate - Baseline" sheetId="8" r:id="rId3"/>
    <sheet name="Estimate - Rate Decline" sheetId="15" r:id="rId4"/>
    <sheet name="Estimate - Scenario" sheetId="16" r:id="rId5"/>
    <sheet name="Estimate - Fiscal Costs" sheetId="19" r:id="rId6"/>
  </sheets>
  <externalReferences>
    <externalReference r:id="rId7"/>
  </externalReferences>
  <definedNames>
    <definedName name="CIQWBGuid" hidden="1">"c55b0e1c-81a0-467b-866e-15d8d45ec6ab"</definedName>
    <definedName name="CIQWBInfo" hidden="1">"{ ""CIQVersion"":""9.47.1108.4092""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"11/23/2021 13:31:50"</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RA19" hidden="1">'[1]BDC - Quarterly'!$B$19:$AF$19</definedName>
    <definedName name="IQRA20" hidden="1">'[1]Backup - Quarterly'!$B$20:$AF$20</definedName>
    <definedName name="IQRA21" hidden="1">'[1]BDC - Quarterly'!$B$21:$AF$21</definedName>
    <definedName name="IQRA22" hidden="1">'[1]Backup - Quarterly'!$B$22:$AF$22</definedName>
    <definedName name="IQRA23" hidden="1">'[1]BDC - Quarterly'!$B$23:$AF$23</definedName>
    <definedName name="IQRA25" hidden="1">'[1]BDC - Quarterly'!$B$25:$AF$25</definedName>
    <definedName name="IQRA27" hidden="1">'[1]Template - Quarterly'!$B$27:$AF$27</definedName>
    <definedName name="IQRA28" hidden="1">'[1]Backup - Quarterly'!$B$28:$AF$28</definedName>
    <definedName name="IQRA29" hidden="1">'[1]BDC - Quarterly'!$B$29:$AF$29</definedName>
    <definedName name="IQRA30" hidden="1">'[1]Backup - Quarterly'!$B$30:$AF$30</definedName>
    <definedName name="IQRA31" hidden="1">'[1]BDC - Quarterly'!$B$31:$AF$31</definedName>
    <definedName name="IQRA32" hidden="1">'[1]Backup - Quarterly'!$B$32:$AF$32</definedName>
    <definedName name="IQRA34" hidden="1">'[1]Template - Quarterly'!$B$34:$AF$34</definedName>
    <definedName name="IQRA36" hidden="1">'[1]BDC - Quarterly'!$B$36:$AF$36</definedName>
    <definedName name="IQRA38" hidden="1">'[1]BDC - Quarterly'!$B$38:$AF$38</definedName>
    <definedName name="IQRA40" hidden="1">'[1]FCC - Quarterly'!$B$40:$AF$40</definedName>
    <definedName name="IQRA42" hidden="1">'[1]BDC - Quarterly'!$B$42:$AF$42</definedName>
    <definedName name="IQRA44" hidden="1">'[1]BDC - Quarterly'!$B$44:$AF$44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7" i="8" l="1"/>
  <c r="N21" i="8"/>
  <c r="H21" i="8"/>
  <c r="S16" i="16"/>
  <c r="R16" i="16"/>
  <c r="Q16" i="16"/>
  <c r="P16" i="16"/>
  <c r="O16" i="16"/>
  <c r="O56" i="16"/>
  <c r="N56" i="16"/>
  <c r="N57" i="16" s="1"/>
  <c r="L55" i="16"/>
  <c r="J57" i="16"/>
  <c r="L57" i="16"/>
  <c r="M57" i="16"/>
  <c r="K66" i="16"/>
  <c r="J66" i="16"/>
  <c r="I66" i="16"/>
  <c r="H66" i="16"/>
  <c r="D40" i="12"/>
  <c r="K57" i="16"/>
  <c r="I57" i="16"/>
  <c r="H57" i="16"/>
  <c r="G57" i="16"/>
  <c r="M57" i="15"/>
  <c r="K57" i="15"/>
  <c r="J57" i="15"/>
  <c r="I57" i="15"/>
  <c r="H57" i="15"/>
  <c r="M57" i="8"/>
  <c r="L57" i="8"/>
  <c r="K57" i="8"/>
  <c r="J57" i="8"/>
  <c r="I57" i="8"/>
  <c r="H57" i="8"/>
  <c r="G57" i="8"/>
  <c r="G55" i="16" l="1"/>
  <c r="H55" i="16"/>
  <c r="I55" i="16"/>
  <c r="J55" i="16"/>
  <c r="M55" i="16"/>
  <c r="K55" i="16"/>
  <c r="G55" i="15"/>
  <c r="G57" i="15"/>
  <c r="L55" i="15"/>
  <c r="L57" i="15"/>
  <c r="M55" i="15"/>
  <c r="H55" i="15"/>
  <c r="I55" i="15"/>
  <c r="J55" i="15"/>
  <c r="K55" i="15"/>
  <c r="H55" i="8"/>
  <c r="M55" i="8"/>
  <c r="L55" i="8"/>
  <c r="G55" i="8"/>
  <c r="I55" i="8"/>
  <c r="K55" i="8"/>
  <c r="J55" i="8"/>
  <c r="N56" i="8" l="1"/>
  <c r="N57" i="8" s="1"/>
  <c r="P56" i="16"/>
  <c r="P57" i="16" s="1"/>
  <c r="V56" i="16"/>
  <c r="V57" i="16" s="1"/>
  <c r="S56" i="16"/>
  <c r="S57" i="16" s="1"/>
  <c r="T56" i="16"/>
  <c r="T57" i="16" s="1"/>
  <c r="L56" i="16"/>
  <c r="R56" i="16"/>
  <c r="R57" i="16" s="1"/>
  <c r="F56" i="16"/>
  <c r="F57" i="16" s="1"/>
  <c r="J56" i="16"/>
  <c r="H56" i="16"/>
  <c r="M56" i="16"/>
  <c r="K56" i="16"/>
  <c r="G56" i="16"/>
  <c r="E56" i="16"/>
  <c r="E57" i="16" s="1"/>
  <c r="Q56" i="16"/>
  <c r="Q57" i="16" s="1"/>
  <c r="D56" i="16"/>
  <c r="D57" i="16" s="1"/>
  <c r="U56" i="16"/>
  <c r="U57" i="16" s="1"/>
  <c r="O57" i="16"/>
  <c r="I56" i="16"/>
  <c r="N56" i="15"/>
  <c r="N57" i="15" s="1"/>
  <c r="I56" i="15"/>
  <c r="F56" i="15"/>
  <c r="F57" i="15" s="1"/>
  <c r="T56" i="15"/>
  <c r="T57" i="15" s="1"/>
  <c r="D56" i="15"/>
  <c r="D57" i="15" s="1"/>
  <c r="U56" i="15"/>
  <c r="U57" i="15" s="1"/>
  <c r="P56" i="15"/>
  <c r="P57" i="15" s="1"/>
  <c r="Q56" i="15"/>
  <c r="Q57" i="15" s="1"/>
  <c r="R56" i="15"/>
  <c r="R57" i="15" s="1"/>
  <c r="H56" i="15"/>
  <c r="L56" i="15"/>
  <c r="J56" i="15"/>
  <c r="O56" i="15"/>
  <c r="O57" i="15" s="1"/>
  <c r="M56" i="15"/>
  <c r="S56" i="15"/>
  <c r="S57" i="15" s="1"/>
  <c r="V56" i="15"/>
  <c r="V57" i="15" s="1"/>
  <c r="G56" i="15"/>
  <c r="E56" i="15"/>
  <c r="E57" i="15" s="1"/>
  <c r="K56" i="15"/>
  <c r="V56" i="8"/>
  <c r="V57" i="8" s="1"/>
  <c r="O56" i="8"/>
  <c r="O57" i="8" s="1"/>
  <c r="I56" i="8"/>
  <c r="H56" i="8"/>
  <c r="J56" i="8"/>
  <c r="U56" i="8"/>
  <c r="U57" i="8" s="1"/>
  <c r="K56" i="8"/>
  <c r="G56" i="8"/>
  <c r="R56" i="8"/>
  <c r="R57" i="8" s="1"/>
  <c r="D56" i="8"/>
  <c r="D57" i="8" s="1"/>
  <c r="T56" i="8"/>
  <c r="T57" i="8" s="1"/>
  <c r="L56" i="8"/>
  <c r="M56" i="8"/>
  <c r="S56" i="8"/>
  <c r="S57" i="8" s="1"/>
  <c r="Q56" i="8"/>
  <c r="Q57" i="8" s="1"/>
  <c r="P56" i="8"/>
  <c r="P57" i="8" s="1"/>
  <c r="E56" i="8"/>
  <c r="E57" i="8" s="1"/>
  <c r="F56" i="8"/>
  <c r="F57" i="8" s="1"/>
  <c r="F39" i="12" l="1"/>
  <c r="G39" i="12" s="1"/>
  <c r="H39" i="12" s="1"/>
  <c r="I39" i="12" s="1"/>
  <c r="J39" i="12" s="1"/>
  <c r="K39" i="12" s="1"/>
  <c r="L39" i="12" s="1"/>
  <c r="M39" i="12" s="1"/>
  <c r="N39" i="12" s="1"/>
  <c r="O39" i="12" s="1"/>
  <c r="P39" i="12" s="1"/>
  <c r="Q39" i="12" s="1"/>
  <c r="R39" i="12" s="1"/>
  <c r="S39" i="12" s="1"/>
  <c r="T39" i="12" s="1"/>
  <c r="U39" i="12" s="1"/>
  <c r="V39" i="12" s="1"/>
  <c r="W39" i="12" s="1"/>
  <c r="X39" i="12" s="1"/>
  <c r="E39" i="12"/>
  <c r="N66" i="8"/>
  <c r="A15" i="19"/>
  <c r="A14" i="19"/>
  <c r="A13" i="19"/>
  <c r="A12" i="19"/>
  <c r="A11" i="19"/>
  <c r="A3" i="19"/>
  <c r="A7" i="19"/>
  <c r="A6" i="19"/>
  <c r="A5" i="19"/>
  <c r="A4" i="19"/>
  <c r="G28" i="12" l="1"/>
  <c r="H27" i="12"/>
  <c r="F27" i="12"/>
  <c r="F29" i="12"/>
  <c r="E26" i="12"/>
  <c r="E43" i="12" s="1"/>
  <c r="L27" i="12"/>
  <c r="J27" i="12"/>
  <c r="I28" i="12"/>
  <c r="F26" i="12"/>
  <c r="F43" i="12" s="1"/>
  <c r="G4" i="16"/>
  <c r="H4" i="16" s="1"/>
  <c r="I4" i="16" s="1"/>
  <c r="J4" i="16" s="1"/>
  <c r="K4" i="16" s="1"/>
  <c r="L4" i="16" s="1"/>
  <c r="M4" i="16" s="1"/>
  <c r="N4" i="16" s="1"/>
  <c r="O4" i="16" s="1"/>
  <c r="P4" i="16" s="1"/>
  <c r="Q4" i="16" s="1"/>
  <c r="R4" i="16" s="1"/>
  <c r="S4" i="16" s="1"/>
  <c r="T4" i="16" s="1"/>
  <c r="U4" i="16" s="1"/>
  <c r="V4" i="16" s="1"/>
  <c r="K66" i="8"/>
  <c r="J66" i="8"/>
  <c r="I66" i="8"/>
  <c r="H66" i="8"/>
  <c r="H66" i="15"/>
  <c r="I66" i="15"/>
  <c r="J66" i="15"/>
  <c r="K66" i="15"/>
  <c r="G4" i="15"/>
  <c r="H4" i="15" s="1"/>
  <c r="I4" i="15" s="1"/>
  <c r="J4" i="15" s="1"/>
  <c r="K4" i="15" s="1"/>
  <c r="L4" i="15" s="1"/>
  <c r="M4" i="15" s="1"/>
  <c r="N4" i="15" s="1"/>
  <c r="O4" i="15" s="1"/>
  <c r="P4" i="15" s="1"/>
  <c r="Q4" i="15" s="1"/>
  <c r="R4" i="15" s="1"/>
  <c r="S4" i="15" s="1"/>
  <c r="T4" i="15" s="1"/>
  <c r="U4" i="15" s="1"/>
  <c r="V4" i="15" s="1"/>
  <c r="G29" i="12" l="1"/>
  <c r="J29" i="12"/>
  <c r="G27" i="12"/>
  <c r="I26" i="12"/>
  <c r="I43" i="12" s="1"/>
  <c r="H26" i="12"/>
  <c r="H43" i="12" s="1"/>
  <c r="F28" i="12"/>
  <c r="J26" i="12"/>
  <c r="J43" i="12" s="1"/>
  <c r="G26" i="12"/>
  <c r="G43" i="12" s="1"/>
  <c r="J28" i="12"/>
  <c r="L28" i="12"/>
  <c r="K28" i="12"/>
  <c r="D29" i="12"/>
  <c r="K26" i="12"/>
  <c r="K43" i="12" s="1"/>
  <c r="K27" i="12"/>
  <c r="L26" i="12"/>
  <c r="L43" i="12" s="1"/>
  <c r="I29" i="12"/>
  <c r="E28" i="12"/>
  <c r="D27" i="12"/>
  <c r="D30" i="12"/>
  <c r="H29" i="12"/>
  <c r="E27" i="12"/>
  <c r="K29" i="12"/>
  <c r="D26" i="12"/>
  <c r="D43" i="12" s="1"/>
  <c r="L29" i="12"/>
  <c r="E29" i="12"/>
  <c r="I27" i="12"/>
  <c r="H28" i="12"/>
  <c r="D28" i="12"/>
  <c r="V66" i="16"/>
  <c r="U66" i="16"/>
  <c r="T66" i="16"/>
  <c r="S66" i="16"/>
  <c r="R66" i="16"/>
  <c r="Q66" i="16"/>
  <c r="P66" i="16"/>
  <c r="O66" i="16"/>
  <c r="M66" i="16"/>
  <c r="L66" i="16"/>
  <c r="G64" i="16"/>
  <c r="H64" i="16" s="1"/>
  <c r="I64" i="16" s="1"/>
  <c r="J64" i="16" s="1"/>
  <c r="K64" i="16" s="1"/>
  <c r="L64" i="16" s="1"/>
  <c r="M64" i="16" s="1"/>
  <c r="N64" i="16" s="1"/>
  <c r="O64" i="16" s="1"/>
  <c r="P64" i="16" s="1"/>
  <c r="Q64" i="16" s="1"/>
  <c r="R64" i="16" s="1"/>
  <c r="S64" i="16" s="1"/>
  <c r="T64" i="16" s="1"/>
  <c r="U64" i="16" s="1"/>
  <c r="V64" i="16" s="1"/>
  <c r="G52" i="16"/>
  <c r="H52" i="16" s="1"/>
  <c r="I52" i="16" s="1"/>
  <c r="J52" i="16" s="1"/>
  <c r="K52" i="16" s="1"/>
  <c r="L52" i="16" s="1"/>
  <c r="M52" i="16" s="1"/>
  <c r="N52" i="16" s="1"/>
  <c r="O52" i="16" s="1"/>
  <c r="P52" i="16" s="1"/>
  <c r="Q52" i="16" s="1"/>
  <c r="R52" i="16" s="1"/>
  <c r="S52" i="16" s="1"/>
  <c r="T52" i="16" s="1"/>
  <c r="U52" i="16" s="1"/>
  <c r="V52" i="16" s="1"/>
  <c r="G30" i="16"/>
  <c r="H30" i="16" s="1"/>
  <c r="I30" i="16" s="1"/>
  <c r="J30" i="16" s="1"/>
  <c r="K30" i="16" s="1"/>
  <c r="L30" i="16" s="1"/>
  <c r="M30" i="16" s="1"/>
  <c r="N30" i="16" s="1"/>
  <c r="O30" i="16" s="1"/>
  <c r="P30" i="16" s="1"/>
  <c r="Q30" i="16" s="1"/>
  <c r="R30" i="16" s="1"/>
  <c r="S30" i="16" s="1"/>
  <c r="T30" i="16" s="1"/>
  <c r="U30" i="16" s="1"/>
  <c r="V30" i="16" s="1"/>
  <c r="G23" i="16"/>
  <c r="H23" i="16" s="1"/>
  <c r="I23" i="16" s="1"/>
  <c r="J23" i="16" s="1"/>
  <c r="K23" i="16" s="1"/>
  <c r="L23" i="16" s="1"/>
  <c r="M23" i="16" s="1"/>
  <c r="N23" i="16" s="1"/>
  <c r="O23" i="16" s="1"/>
  <c r="P23" i="16" s="1"/>
  <c r="Q23" i="16" s="1"/>
  <c r="R23" i="16" s="1"/>
  <c r="S23" i="16" s="1"/>
  <c r="T23" i="16" s="1"/>
  <c r="U23" i="16" s="1"/>
  <c r="V23" i="16" s="1"/>
  <c r="V19" i="16"/>
  <c r="H17" i="16"/>
  <c r="L15" i="16"/>
  <c r="G11" i="16"/>
  <c r="H11" i="16" s="1"/>
  <c r="I11" i="16" s="1"/>
  <c r="J11" i="16" s="1"/>
  <c r="K11" i="16" s="1"/>
  <c r="L11" i="16" s="1"/>
  <c r="M11" i="16" s="1"/>
  <c r="N11" i="16" s="1"/>
  <c r="O11" i="16" s="1"/>
  <c r="P11" i="16" s="1"/>
  <c r="Q11" i="16" s="1"/>
  <c r="R11" i="16" s="1"/>
  <c r="S11" i="16" s="1"/>
  <c r="T11" i="16" s="1"/>
  <c r="U11" i="16" s="1"/>
  <c r="V11" i="16" s="1"/>
  <c r="V66" i="15"/>
  <c r="U66" i="15"/>
  <c r="T66" i="15"/>
  <c r="S66" i="15"/>
  <c r="R66" i="15"/>
  <c r="Q66" i="15"/>
  <c r="P66" i="15"/>
  <c r="O66" i="15"/>
  <c r="G64" i="15"/>
  <c r="H64" i="15" s="1"/>
  <c r="I64" i="15" s="1"/>
  <c r="J64" i="15" s="1"/>
  <c r="K64" i="15" s="1"/>
  <c r="L64" i="15" s="1"/>
  <c r="M64" i="15" s="1"/>
  <c r="N64" i="15" s="1"/>
  <c r="O64" i="15" s="1"/>
  <c r="P64" i="15" s="1"/>
  <c r="Q64" i="15" s="1"/>
  <c r="R64" i="15" s="1"/>
  <c r="S64" i="15" s="1"/>
  <c r="T64" i="15" s="1"/>
  <c r="U64" i="15" s="1"/>
  <c r="V64" i="15" s="1"/>
  <c r="G52" i="15"/>
  <c r="H52" i="15" s="1"/>
  <c r="I52" i="15" s="1"/>
  <c r="J52" i="15" s="1"/>
  <c r="K52" i="15" s="1"/>
  <c r="L52" i="15" s="1"/>
  <c r="M52" i="15" s="1"/>
  <c r="N52" i="15" s="1"/>
  <c r="O52" i="15" s="1"/>
  <c r="P52" i="15" s="1"/>
  <c r="Q52" i="15" s="1"/>
  <c r="R52" i="15" s="1"/>
  <c r="S52" i="15" s="1"/>
  <c r="T52" i="15" s="1"/>
  <c r="U52" i="15" s="1"/>
  <c r="V52" i="15" s="1"/>
  <c r="G30" i="15"/>
  <c r="H30" i="15" s="1"/>
  <c r="I30" i="15" s="1"/>
  <c r="J30" i="15" s="1"/>
  <c r="K30" i="15" s="1"/>
  <c r="L30" i="15" s="1"/>
  <c r="M30" i="15" s="1"/>
  <c r="N30" i="15" s="1"/>
  <c r="O30" i="15" s="1"/>
  <c r="P30" i="15" s="1"/>
  <c r="Q30" i="15" s="1"/>
  <c r="R30" i="15" s="1"/>
  <c r="S30" i="15" s="1"/>
  <c r="T30" i="15" s="1"/>
  <c r="U30" i="15" s="1"/>
  <c r="V30" i="15" s="1"/>
  <c r="G23" i="15"/>
  <c r="H23" i="15" s="1"/>
  <c r="I23" i="15" s="1"/>
  <c r="J23" i="15" s="1"/>
  <c r="K23" i="15" s="1"/>
  <c r="L23" i="15" s="1"/>
  <c r="M23" i="15" s="1"/>
  <c r="N23" i="15" s="1"/>
  <c r="O23" i="15" s="1"/>
  <c r="P23" i="15" s="1"/>
  <c r="Q23" i="15" s="1"/>
  <c r="R23" i="15" s="1"/>
  <c r="S23" i="15" s="1"/>
  <c r="T23" i="15" s="1"/>
  <c r="U23" i="15" s="1"/>
  <c r="V23" i="15" s="1"/>
  <c r="R19" i="15"/>
  <c r="M17" i="15"/>
  <c r="G11" i="15"/>
  <c r="H11" i="15" s="1"/>
  <c r="I11" i="15" s="1"/>
  <c r="J11" i="15" s="1"/>
  <c r="K11" i="15" s="1"/>
  <c r="L11" i="15" s="1"/>
  <c r="M11" i="15" s="1"/>
  <c r="N11" i="15" s="1"/>
  <c r="O11" i="15" s="1"/>
  <c r="P11" i="15" s="1"/>
  <c r="Q11" i="15" s="1"/>
  <c r="R11" i="15" s="1"/>
  <c r="S11" i="15" s="1"/>
  <c r="T11" i="15" s="1"/>
  <c r="U11" i="15" s="1"/>
  <c r="V11" i="15" s="1"/>
  <c r="G64" i="8"/>
  <c r="H64" i="8" s="1"/>
  <c r="I64" i="8" s="1"/>
  <c r="J64" i="8" s="1"/>
  <c r="K64" i="8" s="1"/>
  <c r="L64" i="8" s="1"/>
  <c r="M64" i="8" s="1"/>
  <c r="N64" i="8" s="1"/>
  <c r="O64" i="8" s="1"/>
  <c r="P64" i="8" s="1"/>
  <c r="Q64" i="8" s="1"/>
  <c r="R64" i="8" s="1"/>
  <c r="S64" i="8" s="1"/>
  <c r="T64" i="8" s="1"/>
  <c r="U64" i="8" s="1"/>
  <c r="V64" i="8" s="1"/>
  <c r="G52" i="8"/>
  <c r="H52" i="8" s="1"/>
  <c r="I52" i="8" s="1"/>
  <c r="J52" i="8" s="1"/>
  <c r="K52" i="8" s="1"/>
  <c r="L52" i="8" s="1"/>
  <c r="M52" i="8" s="1"/>
  <c r="N52" i="8" s="1"/>
  <c r="O52" i="8" s="1"/>
  <c r="P52" i="8" s="1"/>
  <c r="Q52" i="8" s="1"/>
  <c r="R52" i="8" s="1"/>
  <c r="S52" i="8" s="1"/>
  <c r="T52" i="8" s="1"/>
  <c r="U52" i="8" s="1"/>
  <c r="V52" i="8" s="1"/>
  <c r="V66" i="8"/>
  <c r="U66" i="8"/>
  <c r="T66" i="8"/>
  <c r="S66" i="8"/>
  <c r="R66" i="8"/>
  <c r="Q66" i="8"/>
  <c r="P66" i="8"/>
  <c r="O66" i="8"/>
  <c r="M66" i="8"/>
  <c r="E49" i="12"/>
  <c r="F49" i="12"/>
  <c r="G49" i="12" s="1"/>
  <c r="H49" i="12" s="1"/>
  <c r="I49" i="12" s="1"/>
  <c r="J49" i="12" s="1"/>
  <c r="K49" i="12" s="1"/>
  <c r="L49" i="12" s="1"/>
  <c r="M49" i="12" s="1"/>
  <c r="N49" i="12" s="1"/>
  <c r="O49" i="12" s="1"/>
  <c r="P49" i="12" s="1"/>
  <c r="Q49" i="12" s="1"/>
  <c r="R49" i="12" s="1"/>
  <c r="S49" i="12" s="1"/>
  <c r="T49" i="12" s="1"/>
  <c r="U49" i="12" s="1"/>
  <c r="V49" i="12" s="1"/>
  <c r="W49" i="12" s="1"/>
  <c r="X49" i="12" s="1"/>
  <c r="C52" i="12"/>
  <c r="C53" i="12" s="1"/>
  <c r="C54" i="12" s="1"/>
  <c r="C55" i="12" s="1"/>
  <c r="C56" i="12" s="1"/>
  <c r="C57" i="12" s="1"/>
  <c r="C58" i="12" s="1"/>
  <c r="C59" i="12" s="1"/>
  <c r="C60" i="12" s="1"/>
  <c r="C61" i="12" s="1"/>
  <c r="C62" i="12" s="1"/>
  <c r="C63" i="12" s="1"/>
  <c r="C64" i="12" s="1"/>
  <c r="C51" i="12"/>
  <c r="F42" i="12"/>
  <c r="G42" i="12" s="1"/>
  <c r="H42" i="12" s="1"/>
  <c r="I42" i="12" s="1"/>
  <c r="J42" i="12" s="1"/>
  <c r="K42" i="12" s="1"/>
  <c r="L42" i="12" s="1"/>
  <c r="M42" i="12" s="1"/>
  <c r="N42" i="12" s="1"/>
  <c r="O42" i="12" s="1"/>
  <c r="P42" i="12" s="1"/>
  <c r="Q42" i="12" s="1"/>
  <c r="R42" i="12" s="1"/>
  <c r="S42" i="12" s="1"/>
  <c r="T42" i="12" s="1"/>
  <c r="U42" i="12" s="1"/>
  <c r="V42" i="12" s="1"/>
  <c r="W42" i="12" s="1"/>
  <c r="X42" i="12" s="1"/>
  <c r="E42" i="12"/>
  <c r="E32" i="12"/>
  <c r="F32" i="12" s="1"/>
  <c r="G32" i="12" s="1"/>
  <c r="H32" i="12" s="1"/>
  <c r="I32" i="12" s="1"/>
  <c r="J32" i="12" s="1"/>
  <c r="K32" i="12" s="1"/>
  <c r="L32" i="12" s="1"/>
  <c r="M32" i="12" s="1"/>
  <c r="N32" i="12" s="1"/>
  <c r="O32" i="12" s="1"/>
  <c r="P32" i="12" s="1"/>
  <c r="Q32" i="12" s="1"/>
  <c r="R32" i="12" s="1"/>
  <c r="S32" i="12" s="1"/>
  <c r="T32" i="12" s="1"/>
  <c r="U32" i="12" s="1"/>
  <c r="V32" i="12" s="1"/>
  <c r="W32" i="12" s="1"/>
  <c r="X32" i="12" s="1"/>
  <c r="G23" i="8"/>
  <c r="H23" i="8" s="1"/>
  <c r="I23" i="8" s="1"/>
  <c r="J23" i="8" s="1"/>
  <c r="K23" i="8" s="1"/>
  <c r="L23" i="8" s="1"/>
  <c r="M23" i="8" s="1"/>
  <c r="N23" i="8" s="1"/>
  <c r="O23" i="8" s="1"/>
  <c r="P23" i="8" s="1"/>
  <c r="Q23" i="8" s="1"/>
  <c r="R23" i="8" s="1"/>
  <c r="S23" i="8" s="1"/>
  <c r="T23" i="8" s="1"/>
  <c r="U23" i="8" s="1"/>
  <c r="V23" i="8" s="1"/>
  <c r="E25" i="12"/>
  <c r="F25" i="12" s="1"/>
  <c r="G25" i="12" s="1"/>
  <c r="H25" i="12" s="1"/>
  <c r="I25" i="12" s="1"/>
  <c r="J25" i="12" s="1"/>
  <c r="K25" i="12" s="1"/>
  <c r="L25" i="12" s="1"/>
  <c r="M25" i="12" s="1"/>
  <c r="N25" i="12" s="1"/>
  <c r="O25" i="12" s="1"/>
  <c r="P25" i="12" s="1"/>
  <c r="Q25" i="12" s="1"/>
  <c r="R25" i="12" s="1"/>
  <c r="S25" i="12" s="1"/>
  <c r="T25" i="12" s="1"/>
  <c r="U25" i="12" s="1"/>
  <c r="V25" i="12" s="1"/>
  <c r="W25" i="12" s="1"/>
  <c r="X25" i="12" s="1"/>
  <c r="N67" i="16" l="1"/>
  <c r="N66" i="16"/>
  <c r="S17" i="15"/>
  <c r="N66" i="15"/>
  <c r="M15" i="15"/>
  <c r="L67" i="16"/>
  <c r="M67" i="16"/>
  <c r="L67" i="8"/>
  <c r="L67" i="15" s="1"/>
  <c r="L66" i="8"/>
  <c r="N67" i="8"/>
  <c r="N67" i="15" s="1"/>
  <c r="M67" i="8"/>
  <c r="M67" i="15" s="1"/>
  <c r="L66" i="15"/>
  <c r="M66" i="15"/>
  <c r="Q17" i="15"/>
  <c r="T17" i="15" s="1"/>
  <c r="T16" i="15" s="1"/>
  <c r="R17" i="15"/>
  <c r="E19" i="15"/>
  <c r="H19" i="15"/>
  <c r="K19" i="15"/>
  <c r="M19" i="15"/>
  <c r="S19" i="15"/>
  <c r="U19" i="15"/>
  <c r="J17" i="15"/>
  <c r="L19" i="15"/>
  <c r="O19" i="15"/>
  <c r="L17" i="15"/>
  <c r="D19" i="15"/>
  <c r="P19" i="15"/>
  <c r="G17" i="15"/>
  <c r="O17" i="15"/>
  <c r="G19" i="15"/>
  <c r="T19" i="15"/>
  <c r="E17" i="15"/>
  <c r="G19" i="16"/>
  <c r="N19" i="16"/>
  <c r="S19" i="16"/>
  <c r="N17" i="16"/>
  <c r="F17" i="16"/>
  <c r="J17" i="16"/>
  <c r="K17" i="16"/>
  <c r="O17" i="16"/>
  <c r="J19" i="16"/>
  <c r="K19" i="16"/>
  <c r="Q17" i="16"/>
  <c r="R17" i="16"/>
  <c r="I15" i="16"/>
  <c r="P17" i="16"/>
  <c r="D15" i="16"/>
  <c r="J15" i="16"/>
  <c r="G17" i="16"/>
  <c r="I19" i="16"/>
  <c r="K15" i="16"/>
  <c r="S17" i="16"/>
  <c r="E15" i="16"/>
  <c r="M15" i="16"/>
  <c r="F15" i="16"/>
  <c r="M17" i="16"/>
  <c r="E17" i="16"/>
  <c r="I17" i="16"/>
  <c r="L17" i="16"/>
  <c r="P19" i="16"/>
  <c r="H19" i="16"/>
  <c r="U19" i="16"/>
  <c r="M19" i="16"/>
  <c r="E19" i="16"/>
  <c r="T19" i="16"/>
  <c r="L19" i="16"/>
  <c r="O19" i="16"/>
  <c r="G15" i="16"/>
  <c r="D17" i="16"/>
  <c r="D19" i="16"/>
  <c r="Q19" i="16"/>
  <c r="H15" i="16"/>
  <c r="F19" i="16"/>
  <c r="R19" i="16"/>
  <c r="E15" i="15"/>
  <c r="K15" i="15"/>
  <c r="H15" i="15"/>
  <c r="L15" i="15"/>
  <c r="J15" i="15"/>
  <c r="F15" i="15"/>
  <c r="G15" i="15"/>
  <c r="D15" i="15"/>
  <c r="I15" i="15"/>
  <c r="P17" i="15"/>
  <c r="F17" i="15"/>
  <c r="K17" i="15"/>
  <c r="I17" i="15"/>
  <c r="H17" i="15"/>
  <c r="D17" i="15"/>
  <c r="N17" i="15"/>
  <c r="F19" i="15"/>
  <c r="N19" i="15"/>
  <c r="V19" i="15"/>
  <c r="I19" i="15"/>
  <c r="Q19" i="15"/>
  <c r="J19" i="15"/>
  <c r="G7" i="12"/>
  <c r="G8" i="12"/>
  <c r="P7" i="12"/>
  <c r="P8" i="12"/>
  <c r="X8" i="12"/>
  <c r="I7" i="12"/>
  <c r="Q7" i="12"/>
  <c r="Y7" i="12"/>
  <c r="I8" i="12"/>
  <c r="Q8" i="12"/>
  <c r="Y8" i="12"/>
  <c r="J7" i="12"/>
  <c r="R7" i="12"/>
  <c r="Z7" i="12"/>
  <c r="J8" i="12"/>
  <c r="R8" i="12"/>
  <c r="Z8" i="12"/>
  <c r="O7" i="12"/>
  <c r="O8" i="12"/>
  <c r="W8" i="12"/>
  <c r="X7" i="12"/>
  <c r="S7" i="12"/>
  <c r="K8" i="12"/>
  <c r="AA8" i="12"/>
  <c r="D8" i="12"/>
  <c r="L7" i="12"/>
  <c r="T7" i="12"/>
  <c r="AB7" i="12"/>
  <c r="L8" i="12"/>
  <c r="T8" i="12"/>
  <c r="AB8" i="12"/>
  <c r="W7" i="12"/>
  <c r="H8" i="12"/>
  <c r="K7" i="12"/>
  <c r="F7" i="12"/>
  <c r="M7" i="12"/>
  <c r="U7" i="12"/>
  <c r="AC7" i="12"/>
  <c r="M8" i="12"/>
  <c r="U8" i="12"/>
  <c r="AC8" i="12"/>
  <c r="H7" i="12"/>
  <c r="D7" i="12"/>
  <c r="AA7" i="12"/>
  <c r="S8" i="12"/>
  <c r="F8" i="12"/>
  <c r="N7" i="12"/>
  <c r="V7" i="12"/>
  <c r="AD7" i="12"/>
  <c r="N8" i="12"/>
  <c r="V8" i="12"/>
  <c r="AD8" i="12"/>
  <c r="T17" i="16" l="1"/>
  <c r="T16" i="16" s="1"/>
  <c r="U17" i="16"/>
  <c r="M20" i="15"/>
  <c r="V17" i="15"/>
  <c r="G20" i="15"/>
  <c r="L20" i="15"/>
  <c r="E20" i="15"/>
  <c r="F20" i="15"/>
  <c r="U17" i="15"/>
  <c r="U16" i="15" s="1"/>
  <c r="V16" i="15" s="1"/>
  <c r="I20" i="15"/>
  <c r="H20" i="15"/>
  <c r="K20" i="16"/>
  <c r="L20" i="16"/>
  <c r="H20" i="16"/>
  <c r="M20" i="16"/>
  <c r="G20" i="16"/>
  <c r="J20" i="16"/>
  <c r="V17" i="16"/>
  <c r="D20" i="16"/>
  <c r="E20" i="16"/>
  <c r="F20" i="16"/>
  <c r="I20" i="16"/>
  <c r="D20" i="15"/>
  <c r="J20" i="15"/>
  <c r="K20" i="15"/>
  <c r="N28" i="12"/>
  <c r="O28" i="12"/>
  <c r="U16" i="16" l="1"/>
  <c r="V16" i="16" s="1"/>
  <c r="N21" i="16"/>
  <c r="N14" i="16" s="1"/>
  <c r="N21" i="15"/>
  <c r="T28" i="12"/>
  <c r="M28" i="12"/>
  <c r="P29" i="12"/>
  <c r="Q28" i="12"/>
  <c r="P27" i="12"/>
  <c r="W29" i="12"/>
  <c r="V29" i="12"/>
  <c r="S29" i="12"/>
  <c r="R28" i="12"/>
  <c r="U27" i="12"/>
  <c r="W28" i="12"/>
  <c r="Q29" i="12"/>
  <c r="U26" i="12"/>
  <c r="U43" i="12" s="1"/>
  <c r="P26" i="12"/>
  <c r="P43" i="12" s="1"/>
  <c r="U29" i="12"/>
  <c r="R26" i="12"/>
  <c r="R43" i="12" s="1"/>
  <c r="X28" i="12"/>
  <c r="X26" i="12"/>
  <c r="X43" i="12" s="1"/>
  <c r="U28" i="12"/>
  <c r="X27" i="12"/>
  <c r="W27" i="12"/>
  <c r="X29" i="12"/>
  <c r="Q26" i="12"/>
  <c r="Q43" i="12" s="1"/>
  <c r="S28" i="12"/>
  <c r="V27" i="12"/>
  <c r="V26" i="12"/>
  <c r="V43" i="12" s="1"/>
  <c r="S27" i="12"/>
  <c r="Q27" i="12"/>
  <c r="T29" i="12"/>
  <c r="W26" i="12"/>
  <c r="W43" i="12" s="1"/>
  <c r="V28" i="12"/>
  <c r="T27" i="12"/>
  <c r="T26" i="12"/>
  <c r="T43" i="12" s="1"/>
  <c r="R29" i="12"/>
  <c r="R27" i="12"/>
  <c r="S26" i="12"/>
  <c r="S43" i="12" s="1"/>
  <c r="P28" i="12"/>
  <c r="N26" i="12"/>
  <c r="N43" i="12" s="1"/>
  <c r="N27" i="12"/>
  <c r="N30" i="12"/>
  <c r="N29" i="12"/>
  <c r="X30" i="12"/>
  <c r="P30" i="12"/>
  <c r="H30" i="12"/>
  <c r="M29" i="12"/>
  <c r="M30" i="12"/>
  <c r="W30" i="12"/>
  <c r="G30" i="12"/>
  <c r="V30" i="12"/>
  <c r="F30" i="12"/>
  <c r="M27" i="12"/>
  <c r="I30" i="12"/>
  <c r="U30" i="12"/>
  <c r="E30" i="12"/>
  <c r="M26" i="12"/>
  <c r="M43" i="12" s="1"/>
  <c r="T30" i="12"/>
  <c r="S30" i="12"/>
  <c r="K30" i="12"/>
  <c r="L30" i="12"/>
  <c r="Q30" i="12"/>
  <c r="R30" i="12"/>
  <c r="J30" i="12"/>
  <c r="O30" i="12"/>
  <c r="O29" i="12"/>
  <c r="O27" i="12"/>
  <c r="O26" i="12"/>
  <c r="O43" i="12" s="1"/>
  <c r="G21" i="15"/>
  <c r="H21" i="15"/>
  <c r="J21" i="15"/>
  <c r="K21" i="15"/>
  <c r="L21" i="15"/>
  <c r="M21" i="15"/>
  <c r="I21" i="15"/>
  <c r="I21" i="16"/>
  <c r="H21" i="16"/>
  <c r="G21" i="16"/>
  <c r="K21" i="16"/>
  <c r="J21" i="16"/>
  <c r="L21" i="16"/>
  <c r="M21" i="16"/>
  <c r="J34" i="12" l="1"/>
  <c r="J44" i="12"/>
  <c r="V52" i="12"/>
  <c r="T36" i="12"/>
  <c r="W53" i="12"/>
  <c r="X54" i="12"/>
  <c r="T50" i="12"/>
  <c r="T46" i="12"/>
  <c r="U51" i="12"/>
  <c r="X35" i="12"/>
  <c r="X45" i="12"/>
  <c r="O35" i="12"/>
  <c r="O45" i="12"/>
  <c r="J35" i="12"/>
  <c r="J45" i="12"/>
  <c r="I44" i="12"/>
  <c r="I34" i="12"/>
  <c r="S33" i="12"/>
  <c r="D35" i="12"/>
  <c r="D45" i="12"/>
  <c r="V33" i="12"/>
  <c r="G33" i="12"/>
  <c r="W35" i="12"/>
  <c r="W45" i="12"/>
  <c r="H44" i="12"/>
  <c r="H34" i="12"/>
  <c r="X50" i="12"/>
  <c r="X46" i="12"/>
  <c r="X36" i="12"/>
  <c r="L45" i="12"/>
  <c r="L35" i="12"/>
  <c r="U56" i="12"/>
  <c r="T55" i="12"/>
  <c r="O50" i="12"/>
  <c r="Q52" i="12"/>
  <c r="V57" i="12"/>
  <c r="S54" i="12"/>
  <c r="O46" i="12"/>
  <c r="X59" i="12"/>
  <c r="P51" i="12"/>
  <c r="O36" i="12"/>
  <c r="W58" i="12"/>
  <c r="R53" i="12"/>
  <c r="T60" i="12"/>
  <c r="K51" i="12"/>
  <c r="J46" i="12"/>
  <c r="J36" i="12"/>
  <c r="R58" i="12"/>
  <c r="M53" i="12"/>
  <c r="W63" i="12"/>
  <c r="Q57" i="12"/>
  <c r="V62" i="12"/>
  <c r="N54" i="12"/>
  <c r="S59" i="12"/>
  <c r="L52" i="12"/>
  <c r="U61" i="12"/>
  <c r="P56" i="12"/>
  <c r="O55" i="12"/>
  <c r="J50" i="12"/>
  <c r="X64" i="12"/>
  <c r="S34" i="12"/>
  <c r="S44" i="12"/>
  <c r="D46" i="12"/>
  <c r="Q63" i="12"/>
  <c r="L58" i="12"/>
  <c r="P62" i="12"/>
  <c r="M59" i="12"/>
  <c r="F52" i="12"/>
  <c r="D36" i="12"/>
  <c r="G53" i="12"/>
  <c r="O61" i="12"/>
  <c r="S65" i="12"/>
  <c r="J56" i="12"/>
  <c r="I55" i="12"/>
  <c r="K57" i="12"/>
  <c r="H54" i="12"/>
  <c r="R64" i="12"/>
  <c r="N60" i="12"/>
  <c r="E51" i="12"/>
  <c r="D50" i="12"/>
  <c r="I35" i="12"/>
  <c r="I45" i="12"/>
  <c r="P44" i="12"/>
  <c r="P34" i="12"/>
  <c r="M34" i="12"/>
  <c r="M44" i="12"/>
  <c r="V44" i="12"/>
  <c r="V34" i="12"/>
  <c r="G34" i="12"/>
  <c r="G44" i="12"/>
  <c r="W36" i="12"/>
  <c r="W50" i="12"/>
  <c r="W46" i="12"/>
  <c r="X51" i="12"/>
  <c r="H45" i="12"/>
  <c r="H35" i="12"/>
  <c r="H33" i="12"/>
  <c r="S35" i="12"/>
  <c r="S45" i="12"/>
  <c r="X57" i="12"/>
  <c r="U54" i="12"/>
  <c r="Q50" i="12"/>
  <c r="Q46" i="12"/>
  <c r="R51" i="12"/>
  <c r="V55" i="12"/>
  <c r="T53" i="12"/>
  <c r="S52" i="12"/>
  <c r="W56" i="12"/>
  <c r="Q36" i="12"/>
  <c r="U33" i="12"/>
  <c r="F33" i="12"/>
  <c r="V45" i="12"/>
  <c r="V35" i="12"/>
  <c r="G35" i="12"/>
  <c r="G45" i="12"/>
  <c r="N56" i="12"/>
  <c r="M55" i="12"/>
  <c r="H50" i="12"/>
  <c r="O57" i="12"/>
  <c r="L54" i="12"/>
  <c r="V64" i="12"/>
  <c r="H46" i="12"/>
  <c r="W65" i="12"/>
  <c r="R60" i="12"/>
  <c r="I51" i="12"/>
  <c r="P58" i="12"/>
  <c r="K53" i="12"/>
  <c r="U63" i="12"/>
  <c r="H36" i="12"/>
  <c r="T62" i="12"/>
  <c r="S61" i="12"/>
  <c r="Q59" i="12"/>
  <c r="J52" i="12"/>
  <c r="N35" i="12"/>
  <c r="N45" i="12"/>
  <c r="D34" i="12"/>
  <c r="D44" i="12"/>
  <c r="Q62" i="12"/>
  <c r="E50" i="12"/>
  <c r="N59" i="12"/>
  <c r="G52" i="12"/>
  <c r="P61" i="12"/>
  <c r="T65" i="12"/>
  <c r="K56" i="12"/>
  <c r="J55" i="12"/>
  <c r="L57" i="12"/>
  <c r="I54" i="12"/>
  <c r="S64" i="12"/>
  <c r="E46" i="12"/>
  <c r="O60" i="12"/>
  <c r="F51" i="12"/>
  <c r="M58" i="12"/>
  <c r="H53" i="12"/>
  <c r="E36" i="12"/>
  <c r="R63" i="12"/>
  <c r="I33" i="12"/>
  <c r="R33" i="12"/>
  <c r="K33" i="12"/>
  <c r="V53" i="12"/>
  <c r="S36" i="12"/>
  <c r="U52" i="12"/>
  <c r="T51" i="12"/>
  <c r="X55" i="12"/>
  <c r="W54" i="12"/>
  <c r="S50" i="12"/>
  <c r="S46" i="12"/>
  <c r="P33" i="12"/>
  <c r="M33" i="12"/>
  <c r="U34" i="12"/>
  <c r="U44" i="12"/>
  <c r="F44" i="12"/>
  <c r="F34" i="12"/>
  <c r="X52" i="12"/>
  <c r="V50" i="12"/>
  <c r="V46" i="12"/>
  <c r="V36" i="12"/>
  <c r="W51" i="12"/>
  <c r="R61" i="12"/>
  <c r="V65" i="12"/>
  <c r="M56" i="12"/>
  <c r="L55" i="12"/>
  <c r="G50" i="12"/>
  <c r="N57" i="12"/>
  <c r="K54" i="12"/>
  <c r="U64" i="12"/>
  <c r="G46" i="12"/>
  <c r="Q60" i="12"/>
  <c r="H51" i="12"/>
  <c r="P59" i="12"/>
  <c r="O58" i="12"/>
  <c r="J53" i="12"/>
  <c r="T63" i="12"/>
  <c r="I52" i="12"/>
  <c r="S62" i="12"/>
  <c r="G36" i="12"/>
  <c r="W59" i="12"/>
  <c r="P52" i="12"/>
  <c r="T56" i="12"/>
  <c r="S55" i="12"/>
  <c r="N50" i="12"/>
  <c r="U57" i="12"/>
  <c r="R54" i="12"/>
  <c r="N46" i="12"/>
  <c r="N36" i="12"/>
  <c r="X60" i="12"/>
  <c r="O51" i="12"/>
  <c r="V58" i="12"/>
  <c r="Q53" i="12"/>
  <c r="O34" i="12"/>
  <c r="O44" i="12"/>
  <c r="P35" i="12"/>
  <c r="P45" i="12"/>
  <c r="Q35" i="12"/>
  <c r="Q45" i="12"/>
  <c r="R44" i="12"/>
  <c r="R34" i="12"/>
  <c r="K34" i="12"/>
  <c r="K44" i="12"/>
  <c r="T33" i="12"/>
  <c r="E33" i="12"/>
  <c r="U45" i="12"/>
  <c r="U35" i="12"/>
  <c r="F45" i="12"/>
  <c r="F35" i="12"/>
  <c r="Q44" i="12"/>
  <c r="Q34" i="12"/>
  <c r="L33" i="12"/>
  <c r="O53" i="12"/>
  <c r="X62" i="12"/>
  <c r="T58" i="12"/>
  <c r="U59" i="12"/>
  <c r="N52" i="12"/>
  <c r="W61" i="12"/>
  <c r="L36" i="12"/>
  <c r="R56" i="12"/>
  <c r="Q55" i="12"/>
  <c r="L50" i="12"/>
  <c r="S57" i="12"/>
  <c r="P54" i="12"/>
  <c r="L46" i="12"/>
  <c r="V60" i="12"/>
  <c r="M51" i="12"/>
  <c r="R45" i="12"/>
  <c r="R35" i="12"/>
  <c r="K45" i="12"/>
  <c r="K35" i="12"/>
  <c r="Q33" i="12"/>
  <c r="T44" i="12"/>
  <c r="T34" i="12"/>
  <c r="E34" i="12"/>
  <c r="E44" i="12"/>
  <c r="W52" i="12"/>
  <c r="U36" i="12"/>
  <c r="U50" i="12"/>
  <c r="U46" i="12"/>
  <c r="V51" i="12"/>
  <c r="X53" i="12"/>
  <c r="O59" i="12"/>
  <c r="H52" i="12"/>
  <c r="Q61" i="12"/>
  <c r="U65" i="12"/>
  <c r="L56" i="12"/>
  <c r="K55" i="12"/>
  <c r="F50" i="12"/>
  <c r="F36" i="12"/>
  <c r="M57" i="12"/>
  <c r="J54" i="12"/>
  <c r="T64" i="12"/>
  <c r="F46" i="12"/>
  <c r="P60" i="12"/>
  <c r="G51" i="12"/>
  <c r="R62" i="12"/>
  <c r="N58" i="12"/>
  <c r="I53" i="12"/>
  <c r="S63" i="12"/>
  <c r="P57" i="12"/>
  <c r="M54" i="12"/>
  <c r="W64" i="12"/>
  <c r="I46" i="12"/>
  <c r="S60" i="12"/>
  <c r="J51" i="12"/>
  <c r="Q58" i="12"/>
  <c r="L53" i="12"/>
  <c r="V63" i="12"/>
  <c r="O56" i="12"/>
  <c r="I50" i="12"/>
  <c r="I36" i="12"/>
  <c r="U62" i="12"/>
  <c r="R59" i="12"/>
  <c r="K52" i="12"/>
  <c r="T61" i="12"/>
  <c r="X65" i="12"/>
  <c r="N55" i="12"/>
  <c r="V56" i="12"/>
  <c r="U55" i="12"/>
  <c r="P50" i="12"/>
  <c r="W57" i="12"/>
  <c r="T54" i="12"/>
  <c r="P46" i="12"/>
  <c r="Q51" i="12"/>
  <c r="X58" i="12"/>
  <c r="S53" i="12"/>
  <c r="P36" i="12"/>
  <c r="R52" i="12"/>
  <c r="V59" i="12"/>
  <c r="O52" i="12"/>
  <c r="X61" i="12"/>
  <c r="S56" i="12"/>
  <c r="R55" i="12"/>
  <c r="M50" i="12"/>
  <c r="T57" i="12"/>
  <c r="Q54" i="12"/>
  <c r="M46" i="12"/>
  <c r="W60" i="12"/>
  <c r="N51" i="12"/>
  <c r="U58" i="12"/>
  <c r="P53" i="12"/>
  <c r="M36" i="12"/>
  <c r="X33" i="12"/>
  <c r="N44" i="12"/>
  <c r="N34" i="12"/>
  <c r="W34" i="12"/>
  <c r="W44" i="12"/>
  <c r="O33" i="12"/>
  <c r="O37" i="12" s="1"/>
  <c r="J33" i="12"/>
  <c r="S51" i="12"/>
  <c r="U53" i="12"/>
  <c r="V54" i="12"/>
  <c r="R36" i="12"/>
  <c r="T52" i="12"/>
  <c r="R50" i="12"/>
  <c r="X56" i="12"/>
  <c r="W55" i="12"/>
  <c r="R46" i="12"/>
  <c r="S58" i="12"/>
  <c r="N53" i="12"/>
  <c r="X63" i="12"/>
  <c r="U60" i="12"/>
  <c r="W62" i="12"/>
  <c r="L51" i="12"/>
  <c r="T59" i="12"/>
  <c r="M52" i="12"/>
  <c r="K36" i="12"/>
  <c r="V61" i="12"/>
  <c r="Q56" i="12"/>
  <c r="P55" i="12"/>
  <c r="K50" i="12"/>
  <c r="R57" i="12"/>
  <c r="O54" i="12"/>
  <c r="K46" i="12"/>
  <c r="D33" i="12"/>
  <c r="T45" i="12"/>
  <c r="T35" i="12"/>
  <c r="E45" i="12"/>
  <c r="E35" i="12"/>
  <c r="M45" i="12"/>
  <c r="M35" i="12"/>
  <c r="W33" i="12"/>
  <c r="L44" i="12"/>
  <c r="L34" i="12"/>
  <c r="X44" i="12"/>
  <c r="X34" i="12"/>
  <c r="N33" i="12"/>
  <c r="O21" i="16"/>
  <c r="O14" i="16" s="1"/>
  <c r="O21" i="15"/>
  <c r="N14" i="15"/>
  <c r="O47" i="12" l="1"/>
  <c r="N26" i="16" s="1"/>
  <c r="N37" i="12"/>
  <c r="M25" i="16" s="1"/>
  <c r="J47" i="12"/>
  <c r="I26" i="15" s="1"/>
  <c r="E47" i="12"/>
  <c r="D26" i="16" s="1"/>
  <c r="J37" i="12"/>
  <c r="I25" i="8" s="1"/>
  <c r="Q47" i="12"/>
  <c r="P26" i="8" s="1"/>
  <c r="L47" i="12"/>
  <c r="K26" i="8" s="1"/>
  <c r="P47" i="12"/>
  <c r="O26" i="8" s="1"/>
  <c r="I47" i="12"/>
  <c r="H26" i="15" s="1"/>
  <c r="W37" i="12"/>
  <c r="V25" i="8" s="1"/>
  <c r="D47" i="12"/>
  <c r="C26" i="15" s="1"/>
  <c r="N47" i="12"/>
  <c r="X37" i="12"/>
  <c r="T37" i="12"/>
  <c r="K37" i="12"/>
  <c r="G37" i="12"/>
  <c r="X47" i="12"/>
  <c r="T47" i="12"/>
  <c r="P37" i="12"/>
  <c r="K47" i="12"/>
  <c r="V47" i="12"/>
  <c r="Q37" i="12"/>
  <c r="R37" i="12"/>
  <c r="F37" i="12"/>
  <c r="H47" i="12"/>
  <c r="N25" i="16"/>
  <c r="N25" i="8"/>
  <c r="N25" i="15"/>
  <c r="R47" i="12"/>
  <c r="F47" i="12"/>
  <c r="H37" i="12"/>
  <c r="M37" i="12"/>
  <c r="I37" i="12"/>
  <c r="U37" i="12"/>
  <c r="V37" i="12"/>
  <c r="S37" i="12"/>
  <c r="W47" i="12"/>
  <c r="D37" i="12"/>
  <c r="M47" i="12"/>
  <c r="U47" i="12"/>
  <c r="S47" i="12"/>
  <c r="L37" i="12"/>
  <c r="E37" i="12"/>
  <c r="G47" i="12"/>
  <c r="P21" i="16"/>
  <c r="Q21" i="16" s="1"/>
  <c r="R21" i="16" s="1"/>
  <c r="S21" i="16" s="1"/>
  <c r="T21" i="16" s="1"/>
  <c r="U21" i="16" s="1"/>
  <c r="V21" i="16" s="1"/>
  <c r="P21" i="15"/>
  <c r="Q21" i="15" s="1"/>
  <c r="R21" i="15" s="1"/>
  <c r="S21" i="15" s="1"/>
  <c r="T21" i="15" s="1"/>
  <c r="U21" i="15" s="1"/>
  <c r="V21" i="15" s="1"/>
  <c r="O14" i="15"/>
  <c r="P26" i="16" l="1"/>
  <c r="K26" i="15"/>
  <c r="M25" i="15"/>
  <c r="N26" i="8"/>
  <c r="P26" i="15"/>
  <c r="O26" i="16"/>
  <c r="I25" i="16"/>
  <c r="H26" i="8"/>
  <c r="N26" i="15"/>
  <c r="N27" i="15" s="1"/>
  <c r="N28" i="15" s="1"/>
  <c r="N58" i="15" s="1"/>
  <c r="O26" i="15"/>
  <c r="D26" i="15"/>
  <c r="D26" i="8"/>
  <c r="H26" i="16"/>
  <c r="K26" i="16"/>
  <c r="M25" i="8"/>
  <c r="V25" i="16"/>
  <c r="I26" i="16"/>
  <c r="C26" i="8"/>
  <c r="C27" i="8" s="1"/>
  <c r="I25" i="15"/>
  <c r="I27" i="15" s="1"/>
  <c r="I28" i="15" s="1"/>
  <c r="I26" i="8"/>
  <c r="V25" i="15"/>
  <c r="C26" i="16"/>
  <c r="T26" i="8"/>
  <c r="T26" i="16"/>
  <c r="T26" i="15"/>
  <c r="L26" i="15"/>
  <c r="L26" i="8"/>
  <c r="L26" i="16"/>
  <c r="P25" i="15"/>
  <c r="P25" i="16"/>
  <c r="P25" i="8"/>
  <c r="C25" i="8"/>
  <c r="C25" i="16"/>
  <c r="C25" i="15"/>
  <c r="C27" i="15" s="1"/>
  <c r="C28" i="15" s="1"/>
  <c r="R25" i="16"/>
  <c r="R25" i="8"/>
  <c r="R25" i="15"/>
  <c r="G25" i="16"/>
  <c r="G25" i="8"/>
  <c r="G25" i="15"/>
  <c r="U26" i="16"/>
  <c r="U26" i="15"/>
  <c r="U26" i="8"/>
  <c r="E26" i="16"/>
  <c r="E26" i="15"/>
  <c r="E26" i="8"/>
  <c r="J26" i="15"/>
  <c r="J26" i="8"/>
  <c r="J26" i="16"/>
  <c r="T25" i="16"/>
  <c r="T25" i="8"/>
  <c r="T25" i="15"/>
  <c r="Q26" i="15"/>
  <c r="Q26" i="8"/>
  <c r="Q26" i="16"/>
  <c r="O25" i="16"/>
  <c r="O25" i="15"/>
  <c r="O25" i="8"/>
  <c r="M26" i="16"/>
  <c r="M27" i="16" s="1"/>
  <c r="M28" i="16" s="1"/>
  <c r="M58" i="16" s="1"/>
  <c r="M26" i="15"/>
  <c r="M26" i="8"/>
  <c r="H25" i="8"/>
  <c r="H25" i="15"/>
  <c r="H27" i="15" s="1"/>
  <c r="H28" i="15" s="1"/>
  <c r="H58" i="15" s="1"/>
  <c r="H25" i="16"/>
  <c r="S26" i="15"/>
  <c r="S26" i="8"/>
  <c r="S26" i="16"/>
  <c r="F25" i="15"/>
  <c r="F25" i="8"/>
  <c r="F25" i="16"/>
  <c r="V26" i="16"/>
  <c r="V26" i="15"/>
  <c r="V26" i="8"/>
  <c r="F26" i="16"/>
  <c r="F26" i="15"/>
  <c r="F26" i="8"/>
  <c r="L25" i="8"/>
  <c r="L25" i="16"/>
  <c r="L25" i="15"/>
  <c r="G26" i="16"/>
  <c r="G26" i="15"/>
  <c r="G26" i="8"/>
  <c r="J25" i="15"/>
  <c r="J25" i="16"/>
  <c r="J25" i="8"/>
  <c r="K25" i="15"/>
  <c r="K25" i="16"/>
  <c r="K25" i="8"/>
  <c r="Q25" i="16"/>
  <c r="Q25" i="15"/>
  <c r="Q25" i="8"/>
  <c r="U25" i="16"/>
  <c r="U25" i="8"/>
  <c r="U25" i="15"/>
  <c r="D25" i="16"/>
  <c r="D27" i="16" s="1"/>
  <c r="D28" i="16" s="1"/>
  <c r="D58" i="16" s="1"/>
  <c r="D25" i="8"/>
  <c r="D25" i="15"/>
  <c r="R26" i="15"/>
  <c r="R26" i="8"/>
  <c r="R26" i="16"/>
  <c r="N27" i="16"/>
  <c r="N28" i="16" s="1"/>
  <c r="N58" i="16" s="1"/>
  <c r="E25" i="15"/>
  <c r="E25" i="16"/>
  <c r="E25" i="8"/>
  <c r="S25" i="16"/>
  <c r="S25" i="15"/>
  <c r="S25" i="8"/>
  <c r="P14" i="16"/>
  <c r="P14" i="15"/>
  <c r="I27" i="16" l="1"/>
  <c r="I28" i="16" s="1"/>
  <c r="N36" i="15"/>
  <c r="I58" i="15"/>
  <c r="K27" i="15"/>
  <c r="K28" i="15" s="1"/>
  <c r="Q37" i="15" s="1"/>
  <c r="Q14" i="16"/>
  <c r="P27" i="16"/>
  <c r="P28" i="16" s="1"/>
  <c r="P58" i="16" s="1"/>
  <c r="P27" i="15"/>
  <c r="P28" i="15" s="1"/>
  <c r="P58" i="15" s="1"/>
  <c r="M27" i="15"/>
  <c r="M28" i="15" s="1"/>
  <c r="H27" i="16"/>
  <c r="H28" i="16" s="1"/>
  <c r="O27" i="16"/>
  <c r="O28" i="16" s="1"/>
  <c r="C27" i="16"/>
  <c r="C28" i="16" s="1"/>
  <c r="M41" i="16" s="1"/>
  <c r="K27" i="16"/>
  <c r="K28" i="16" s="1"/>
  <c r="U43" i="15"/>
  <c r="L27" i="15"/>
  <c r="L28" i="15" s="1"/>
  <c r="R27" i="16"/>
  <c r="L27" i="16"/>
  <c r="L28" i="16" s="1"/>
  <c r="T42" i="15"/>
  <c r="Q39" i="15"/>
  <c r="V44" i="15"/>
  <c r="E27" i="16"/>
  <c r="E28" i="16" s="1"/>
  <c r="O27" i="15"/>
  <c r="O28" i="15" s="1"/>
  <c r="E27" i="15"/>
  <c r="E28" i="15" s="1"/>
  <c r="K33" i="15"/>
  <c r="S27" i="16"/>
  <c r="V27" i="16"/>
  <c r="I31" i="15"/>
  <c r="Q27" i="15"/>
  <c r="L34" i="15"/>
  <c r="D27" i="15"/>
  <c r="D28" i="15" s="1"/>
  <c r="R40" i="15"/>
  <c r="M35" i="15"/>
  <c r="O37" i="15"/>
  <c r="Q27" i="16"/>
  <c r="S41" i="15"/>
  <c r="P38" i="15"/>
  <c r="J32" i="15"/>
  <c r="V27" i="15"/>
  <c r="G27" i="16"/>
  <c r="G28" i="16" s="1"/>
  <c r="F27" i="16"/>
  <c r="F28" i="16" s="1"/>
  <c r="J27" i="16"/>
  <c r="J28" i="16" s="1"/>
  <c r="S27" i="15"/>
  <c r="R27" i="15"/>
  <c r="F33" i="16"/>
  <c r="P43" i="16"/>
  <c r="I36" i="16"/>
  <c r="L39" i="16"/>
  <c r="K38" i="16"/>
  <c r="H35" i="16"/>
  <c r="E32" i="16"/>
  <c r="J37" i="16"/>
  <c r="S46" i="16"/>
  <c r="G34" i="16"/>
  <c r="N41" i="16"/>
  <c r="M40" i="16"/>
  <c r="O42" i="16"/>
  <c r="Q44" i="16"/>
  <c r="D31" i="16"/>
  <c r="R45" i="16"/>
  <c r="L35" i="15"/>
  <c r="M36" i="15"/>
  <c r="I32" i="15"/>
  <c r="P39" i="15"/>
  <c r="R41" i="15"/>
  <c r="H31" i="15"/>
  <c r="O38" i="15"/>
  <c r="N37" i="15"/>
  <c r="V45" i="15"/>
  <c r="K34" i="15"/>
  <c r="Q40" i="15"/>
  <c r="U44" i="15"/>
  <c r="S42" i="15"/>
  <c r="T43" i="15"/>
  <c r="J33" i="15"/>
  <c r="F27" i="15"/>
  <c r="F28" i="15" s="1"/>
  <c r="F58" i="15" s="1"/>
  <c r="S37" i="16"/>
  <c r="V40" i="16"/>
  <c r="O33" i="16"/>
  <c r="P34" i="16"/>
  <c r="T38" i="16"/>
  <c r="M31" i="16"/>
  <c r="R36" i="16"/>
  <c r="Q35" i="16"/>
  <c r="N32" i="16"/>
  <c r="U39" i="16"/>
  <c r="J27" i="15"/>
  <c r="J28" i="15" s="1"/>
  <c r="U27" i="15"/>
  <c r="H36" i="15"/>
  <c r="L40" i="15"/>
  <c r="K39" i="15"/>
  <c r="J38" i="15"/>
  <c r="E33" i="15"/>
  <c r="R46" i="15"/>
  <c r="G35" i="15"/>
  <c r="P44" i="15"/>
  <c r="I37" i="15"/>
  <c r="F34" i="15"/>
  <c r="O43" i="15"/>
  <c r="M41" i="15"/>
  <c r="D32" i="15"/>
  <c r="Q45" i="15"/>
  <c r="N42" i="15"/>
  <c r="C31" i="15"/>
  <c r="C47" i="15" s="1"/>
  <c r="U27" i="16"/>
  <c r="T27" i="15"/>
  <c r="G27" i="15"/>
  <c r="G28" i="15" s="1"/>
  <c r="G58" i="15" s="1"/>
  <c r="T27" i="16"/>
  <c r="Q34" i="16"/>
  <c r="N31" i="16"/>
  <c r="O32" i="16"/>
  <c r="V39" i="16"/>
  <c r="S36" i="16"/>
  <c r="U38" i="16"/>
  <c r="P33" i="16"/>
  <c r="T37" i="16"/>
  <c r="R35" i="16"/>
  <c r="N31" i="15"/>
  <c r="R35" i="15"/>
  <c r="V39" i="15"/>
  <c r="T37" i="15"/>
  <c r="O32" i="15"/>
  <c r="S36" i="15"/>
  <c r="Q34" i="15"/>
  <c r="P33" i="15"/>
  <c r="U38" i="15"/>
  <c r="Q14" i="15"/>
  <c r="L32" i="15" l="1"/>
  <c r="V46" i="16"/>
  <c r="G58" i="16"/>
  <c r="R44" i="16"/>
  <c r="E58" i="16"/>
  <c r="M33" i="16"/>
  <c r="K58" i="16"/>
  <c r="L37" i="16"/>
  <c r="F58" i="16"/>
  <c r="R39" i="16"/>
  <c r="J58" i="16"/>
  <c r="P35" i="16"/>
  <c r="L58" i="16"/>
  <c r="H58" i="16"/>
  <c r="K33" i="16"/>
  <c r="I58" i="16"/>
  <c r="P32" i="16"/>
  <c r="O58" i="16"/>
  <c r="Q39" i="16"/>
  <c r="P38" i="16"/>
  <c r="O37" i="16"/>
  <c r="S41" i="16"/>
  <c r="N36" i="16"/>
  <c r="J32" i="16"/>
  <c r="V44" i="16"/>
  <c r="I31" i="16"/>
  <c r="U43" i="16"/>
  <c r="R40" i="16"/>
  <c r="L34" i="16"/>
  <c r="M35" i="16"/>
  <c r="T42" i="16"/>
  <c r="R37" i="15"/>
  <c r="L58" i="15"/>
  <c r="J58" i="15"/>
  <c r="M33" i="15"/>
  <c r="K58" i="15"/>
  <c r="F32" i="15"/>
  <c r="E58" i="15"/>
  <c r="S46" i="15"/>
  <c r="D58" i="15"/>
  <c r="O31" i="15"/>
  <c r="O58" i="15"/>
  <c r="S37" i="15"/>
  <c r="M58" i="15"/>
  <c r="V42" i="15"/>
  <c r="U41" i="15"/>
  <c r="K31" i="15"/>
  <c r="R38" i="15"/>
  <c r="T40" i="15"/>
  <c r="P36" i="15"/>
  <c r="O35" i="15"/>
  <c r="N34" i="15"/>
  <c r="S39" i="15"/>
  <c r="Q33" i="16"/>
  <c r="R14" i="16"/>
  <c r="R34" i="16"/>
  <c r="U37" i="16"/>
  <c r="R36" i="15"/>
  <c r="U39" i="15"/>
  <c r="N32" i="15"/>
  <c r="V40" i="15"/>
  <c r="Q43" i="16"/>
  <c r="H34" i="16"/>
  <c r="N38" i="16"/>
  <c r="P42" i="16"/>
  <c r="T39" i="15"/>
  <c r="P36" i="16"/>
  <c r="U41" i="16"/>
  <c r="N42" i="16"/>
  <c r="T46" i="16"/>
  <c r="L38" i="16"/>
  <c r="I35" i="16"/>
  <c r="S45" i="16"/>
  <c r="J36" i="16"/>
  <c r="G33" i="16"/>
  <c r="O41" i="16"/>
  <c r="M39" i="16"/>
  <c r="T44" i="16"/>
  <c r="P40" i="16"/>
  <c r="U44" i="16"/>
  <c r="H31" i="16"/>
  <c r="S42" i="16"/>
  <c r="J33" i="16"/>
  <c r="M31" i="15"/>
  <c r="R37" i="16"/>
  <c r="P39" i="16"/>
  <c r="Q40" i="16"/>
  <c r="I32" i="16"/>
  <c r="Q35" i="15"/>
  <c r="L31" i="16"/>
  <c r="N37" i="16"/>
  <c r="O38" i="16"/>
  <c r="P34" i="15"/>
  <c r="U40" i="16"/>
  <c r="K34" i="16"/>
  <c r="M36" i="16"/>
  <c r="L35" i="16"/>
  <c r="O33" i="15"/>
  <c r="T43" i="16"/>
  <c r="V45" i="16"/>
  <c r="R41" i="16"/>
  <c r="T38" i="15"/>
  <c r="U40" i="15"/>
  <c r="P35" i="15"/>
  <c r="K37" i="15"/>
  <c r="S38" i="15"/>
  <c r="Q36" i="15"/>
  <c r="Q43" i="15"/>
  <c r="N33" i="15"/>
  <c r="O34" i="15"/>
  <c r="M32" i="15"/>
  <c r="L31" i="15"/>
  <c r="V41" i="15"/>
  <c r="Q45" i="16"/>
  <c r="S35" i="16"/>
  <c r="V38" i="16"/>
  <c r="C31" i="16"/>
  <c r="C47" i="16" s="1"/>
  <c r="J38" i="16"/>
  <c r="I37" i="16"/>
  <c r="T36" i="16"/>
  <c r="O31" i="16"/>
  <c r="G35" i="16"/>
  <c r="K39" i="16"/>
  <c r="R46" i="16"/>
  <c r="T39" i="16"/>
  <c r="T40" i="16"/>
  <c r="L32" i="16"/>
  <c r="V42" i="16"/>
  <c r="N34" i="16"/>
  <c r="O35" i="16"/>
  <c r="O43" i="16"/>
  <c r="H36" i="16"/>
  <c r="S38" i="16"/>
  <c r="S39" i="16"/>
  <c r="R38" i="16"/>
  <c r="L40" i="16"/>
  <c r="P44" i="16"/>
  <c r="K31" i="16"/>
  <c r="Q37" i="16"/>
  <c r="F34" i="16"/>
  <c r="D32" i="16"/>
  <c r="D47" i="16" s="1"/>
  <c r="V41" i="16"/>
  <c r="E33" i="16"/>
  <c r="Q36" i="16"/>
  <c r="Q33" i="15"/>
  <c r="E32" i="15"/>
  <c r="S35" i="15"/>
  <c r="J37" i="15"/>
  <c r="M32" i="16"/>
  <c r="P43" i="15"/>
  <c r="D31" i="15"/>
  <c r="D47" i="15" s="1"/>
  <c r="O34" i="16"/>
  <c r="N33" i="16"/>
  <c r="M34" i="16"/>
  <c r="L33" i="16"/>
  <c r="Q38" i="16"/>
  <c r="N35" i="16"/>
  <c r="V43" i="16"/>
  <c r="K32" i="16"/>
  <c r="P37" i="16"/>
  <c r="S40" i="16"/>
  <c r="N40" i="15"/>
  <c r="I35" i="15"/>
  <c r="G34" i="15"/>
  <c r="T46" i="15"/>
  <c r="H34" i="15"/>
  <c r="K38" i="15"/>
  <c r="O42" i="15"/>
  <c r="U37" i="15"/>
  <c r="P42" i="15"/>
  <c r="E31" i="15"/>
  <c r="E31" i="16"/>
  <c r="K37" i="16"/>
  <c r="S44" i="16"/>
  <c r="I36" i="15"/>
  <c r="Q44" i="15"/>
  <c r="J34" i="16"/>
  <c r="N41" i="15"/>
  <c r="R45" i="15"/>
  <c r="V38" i="15"/>
  <c r="R44" i="15"/>
  <c r="F33" i="15"/>
  <c r="M39" i="15"/>
  <c r="N40" i="16"/>
  <c r="F32" i="16"/>
  <c r="H35" i="15"/>
  <c r="M40" i="15"/>
  <c r="Q41" i="16"/>
  <c r="T36" i="15"/>
  <c r="O41" i="15"/>
  <c r="P32" i="15"/>
  <c r="G33" i="15"/>
  <c r="I33" i="16"/>
  <c r="R34" i="15"/>
  <c r="L38" i="15"/>
  <c r="J36" i="15"/>
  <c r="S45" i="15"/>
  <c r="L39" i="15"/>
  <c r="R42" i="16"/>
  <c r="H33" i="16"/>
  <c r="F31" i="16"/>
  <c r="U46" i="16"/>
  <c r="Q42" i="16"/>
  <c r="O39" i="16"/>
  <c r="K35" i="16"/>
  <c r="U42" i="16"/>
  <c r="K36" i="16"/>
  <c r="N39" i="16"/>
  <c r="R43" i="16"/>
  <c r="M38" i="16"/>
  <c r="M37" i="16"/>
  <c r="O36" i="16"/>
  <c r="T41" i="16"/>
  <c r="G32" i="16"/>
  <c r="O40" i="16"/>
  <c r="L36" i="16"/>
  <c r="U45" i="16"/>
  <c r="J31" i="16"/>
  <c r="I34" i="16"/>
  <c r="J35" i="16"/>
  <c r="P41" i="16"/>
  <c r="H32" i="16"/>
  <c r="S43" i="16"/>
  <c r="T45" i="16"/>
  <c r="G31" i="16"/>
  <c r="I34" i="15"/>
  <c r="O40" i="15"/>
  <c r="L37" i="15"/>
  <c r="J35" i="15"/>
  <c r="K36" i="15"/>
  <c r="H33" i="15"/>
  <c r="F31" i="15"/>
  <c r="Q42" i="15"/>
  <c r="G32" i="15"/>
  <c r="P41" i="15"/>
  <c r="M38" i="15"/>
  <c r="S44" i="15"/>
  <c r="T45" i="15"/>
  <c r="U46" i="15"/>
  <c r="N39" i="15"/>
  <c r="R43" i="15"/>
  <c r="R42" i="15"/>
  <c r="L36" i="15"/>
  <c r="P40" i="15"/>
  <c r="H32" i="15"/>
  <c r="V46" i="15"/>
  <c r="I33" i="15"/>
  <c r="N38" i="15"/>
  <c r="J34" i="15"/>
  <c r="T44" i="15"/>
  <c r="U45" i="15"/>
  <c r="G31" i="15"/>
  <c r="Q41" i="15"/>
  <c r="M37" i="15"/>
  <c r="S43" i="15"/>
  <c r="K35" i="15"/>
  <c r="O39" i="15"/>
  <c r="S40" i="15"/>
  <c r="O36" i="15"/>
  <c r="Q38" i="15"/>
  <c r="V43" i="15"/>
  <c r="U42" i="15"/>
  <c r="L33" i="15"/>
  <c r="T41" i="15"/>
  <c r="P37" i="15"/>
  <c r="J31" i="15"/>
  <c r="R39" i="15"/>
  <c r="N35" i="15"/>
  <c r="K32" i="15"/>
  <c r="M34" i="15"/>
  <c r="Q32" i="16"/>
  <c r="P31" i="16"/>
  <c r="R33" i="16"/>
  <c r="S34" i="16"/>
  <c r="T35" i="16"/>
  <c r="V37" i="16"/>
  <c r="U36" i="16"/>
  <c r="Q28" i="16"/>
  <c r="Q58" i="16" s="1"/>
  <c r="Q32" i="15"/>
  <c r="V37" i="15"/>
  <c r="S34" i="15"/>
  <c r="T35" i="15"/>
  <c r="P31" i="15"/>
  <c r="U36" i="15"/>
  <c r="R33" i="15"/>
  <c r="R14" i="15"/>
  <c r="Q28" i="15"/>
  <c r="Q58" i="15" s="1"/>
  <c r="P59" i="16" l="1"/>
  <c r="P62" i="16" s="1"/>
  <c r="L59" i="16"/>
  <c r="L62" i="16" s="1"/>
  <c r="O59" i="16"/>
  <c r="O62" i="16" s="1"/>
  <c r="Q59" i="16"/>
  <c r="Q62" i="16" s="1"/>
  <c r="N59" i="16"/>
  <c r="N62" i="16" s="1"/>
  <c r="M59" i="16"/>
  <c r="M62" i="16" s="1"/>
  <c r="M59" i="15"/>
  <c r="M62" i="15" s="1"/>
  <c r="Q59" i="15"/>
  <c r="Q62" i="15" s="1"/>
  <c r="O59" i="15"/>
  <c r="O62" i="15" s="1"/>
  <c r="N59" i="15"/>
  <c r="N62" i="15" s="1"/>
  <c r="L59" i="15"/>
  <c r="L62" i="15" s="1"/>
  <c r="P59" i="15"/>
  <c r="P62" i="15" s="1"/>
  <c r="S14" i="16"/>
  <c r="T14" i="16" s="1"/>
  <c r="H47" i="16"/>
  <c r="E47" i="15"/>
  <c r="E47" i="16"/>
  <c r="N47" i="16"/>
  <c r="N50" i="16" s="1"/>
  <c r="I47" i="15"/>
  <c r="L47" i="16"/>
  <c r="M47" i="16"/>
  <c r="F47" i="15"/>
  <c r="F47" i="16"/>
  <c r="I47" i="16"/>
  <c r="N47" i="15"/>
  <c r="N50" i="15" s="1"/>
  <c r="H47" i="15"/>
  <c r="O47" i="16"/>
  <c r="J47" i="16"/>
  <c r="J47" i="15"/>
  <c r="K47" i="16"/>
  <c r="O47" i="15"/>
  <c r="O50" i="15" s="1"/>
  <c r="G47" i="16"/>
  <c r="K47" i="15"/>
  <c r="L47" i="15"/>
  <c r="L50" i="15" s="1"/>
  <c r="M47" i="15"/>
  <c r="M50" i="15" s="1"/>
  <c r="P47" i="16"/>
  <c r="P47" i="15"/>
  <c r="P50" i="15" s="1"/>
  <c r="G47" i="15"/>
  <c r="R32" i="16"/>
  <c r="V36" i="16"/>
  <c r="U35" i="16"/>
  <c r="S33" i="16"/>
  <c r="T34" i="16"/>
  <c r="Q31" i="16"/>
  <c r="Q47" i="16" s="1"/>
  <c r="R28" i="16"/>
  <c r="R58" i="16" s="1"/>
  <c r="R32" i="15"/>
  <c r="Q31" i="15"/>
  <c r="Q47" i="15" s="1"/>
  <c r="Q50" i="15" s="1"/>
  <c r="U35" i="15"/>
  <c r="T34" i="15"/>
  <c r="V36" i="15"/>
  <c r="S33" i="15"/>
  <c r="S14" i="15"/>
  <c r="T14" i="15" s="1"/>
  <c r="R28" i="15"/>
  <c r="R58" i="15" s="1"/>
  <c r="R59" i="16" l="1"/>
  <c r="R62" i="16" s="1"/>
  <c r="R59" i="15"/>
  <c r="R62" i="15" s="1"/>
  <c r="P50" i="16"/>
  <c r="O50" i="16"/>
  <c r="M50" i="16"/>
  <c r="L50" i="16"/>
  <c r="Q50" i="16"/>
  <c r="S28" i="16"/>
  <c r="S58" i="16" s="1"/>
  <c r="S32" i="16"/>
  <c r="V35" i="16"/>
  <c r="U34" i="16"/>
  <c r="T33" i="16"/>
  <c r="R31" i="16"/>
  <c r="R47" i="16" s="1"/>
  <c r="S28" i="15"/>
  <c r="S58" i="15" s="1"/>
  <c r="S59" i="15" s="1"/>
  <c r="S62" i="15" s="1"/>
  <c r="V35" i="15"/>
  <c r="T33" i="15"/>
  <c r="U34" i="15"/>
  <c r="S32" i="15"/>
  <c r="R31" i="15"/>
  <c r="R47" i="15" s="1"/>
  <c r="R50" i="15" s="1"/>
  <c r="S59" i="16" l="1"/>
  <c r="S62" i="16" s="1"/>
  <c r="U14" i="16"/>
  <c r="R50" i="16"/>
  <c r="T28" i="16"/>
  <c r="T58" i="16" s="1"/>
  <c r="T59" i="16" s="1"/>
  <c r="T62" i="16" s="1"/>
  <c r="V34" i="16"/>
  <c r="S31" i="16"/>
  <c r="S47" i="16" s="1"/>
  <c r="T32" i="16"/>
  <c r="U33" i="16"/>
  <c r="V34" i="15"/>
  <c r="T32" i="15"/>
  <c r="S31" i="15"/>
  <c r="S47" i="15" s="1"/>
  <c r="S50" i="15" s="1"/>
  <c r="U33" i="15"/>
  <c r="U14" i="15"/>
  <c r="T28" i="15"/>
  <c r="T58" i="15" s="1"/>
  <c r="T59" i="15" l="1"/>
  <c r="T62" i="15" s="1"/>
  <c r="V14" i="16"/>
  <c r="S50" i="16"/>
  <c r="T31" i="16"/>
  <c r="T47" i="16" s="1"/>
  <c r="V33" i="16"/>
  <c r="U32" i="16"/>
  <c r="U28" i="16"/>
  <c r="U58" i="16" s="1"/>
  <c r="U59" i="16" s="1"/>
  <c r="U62" i="16" s="1"/>
  <c r="T31" i="15"/>
  <c r="T47" i="15" s="1"/>
  <c r="T50" i="15" s="1"/>
  <c r="U32" i="15"/>
  <c r="V33" i="15"/>
  <c r="V14" i="15"/>
  <c r="V28" i="15" s="1"/>
  <c r="U28" i="15"/>
  <c r="U58" i="15" s="1"/>
  <c r="U59" i="15" l="1"/>
  <c r="U62" i="15" s="1"/>
  <c r="V31" i="15"/>
  <c r="V58" i="15"/>
  <c r="V28" i="16"/>
  <c r="T50" i="16"/>
  <c r="U31" i="16"/>
  <c r="U47" i="16" s="1"/>
  <c r="V32" i="16"/>
  <c r="U31" i="15"/>
  <c r="U47" i="15" s="1"/>
  <c r="U50" i="15" s="1"/>
  <c r="V32" i="15"/>
  <c r="V59" i="15" l="1"/>
  <c r="V62" i="15" s="1"/>
  <c r="V47" i="15"/>
  <c r="V50" i="15" s="1"/>
  <c r="V31" i="16"/>
  <c r="V47" i="16" s="1"/>
  <c r="V58" i="16"/>
  <c r="V59" i="16" s="1"/>
  <c r="V62" i="16" s="1"/>
  <c r="U50" i="16"/>
  <c r="V50" i="16" l="1"/>
  <c r="G30" i="8" l="1"/>
  <c r="H30" i="8" s="1"/>
  <c r="I30" i="8" s="1"/>
  <c r="J30" i="8" s="1"/>
  <c r="K30" i="8" s="1"/>
  <c r="L30" i="8" s="1"/>
  <c r="M30" i="8" s="1"/>
  <c r="N30" i="8" s="1"/>
  <c r="O30" i="8" s="1"/>
  <c r="P30" i="8" s="1"/>
  <c r="Q30" i="8" s="1"/>
  <c r="R30" i="8" s="1"/>
  <c r="S30" i="8" s="1"/>
  <c r="T30" i="8" s="1"/>
  <c r="U30" i="8" s="1"/>
  <c r="V30" i="8" s="1"/>
  <c r="P19" i="8"/>
  <c r="G11" i="8"/>
  <c r="H11" i="8" s="1"/>
  <c r="I11" i="8" s="1"/>
  <c r="J11" i="8" s="1"/>
  <c r="K11" i="8" s="1"/>
  <c r="L11" i="8" s="1"/>
  <c r="M11" i="8" s="1"/>
  <c r="N11" i="8" s="1"/>
  <c r="O11" i="8" s="1"/>
  <c r="P11" i="8" s="1"/>
  <c r="Q11" i="8" s="1"/>
  <c r="R11" i="8" s="1"/>
  <c r="S11" i="8" s="1"/>
  <c r="T11" i="8" s="1"/>
  <c r="U11" i="8" s="1"/>
  <c r="V11" i="8" s="1"/>
  <c r="O17" i="8" l="1"/>
  <c r="D15" i="8"/>
  <c r="Q17" i="8"/>
  <c r="D19" i="8"/>
  <c r="O19" i="8"/>
  <c r="S17" i="8"/>
  <c r="T17" i="8" s="1"/>
  <c r="T16" i="8" s="1"/>
  <c r="R17" i="8"/>
  <c r="T19" i="8"/>
  <c r="N17" i="8"/>
  <c r="U19" i="8"/>
  <c r="V19" i="8"/>
  <c r="P17" i="8"/>
  <c r="N19" i="8"/>
  <c r="I17" i="8"/>
  <c r="J17" i="8"/>
  <c r="Q19" i="8"/>
  <c r="R19" i="8"/>
  <c r="S19" i="8"/>
  <c r="G19" i="8"/>
  <c r="K17" i="8"/>
  <c r="D17" i="8"/>
  <c r="L17" i="8"/>
  <c r="J19" i="8"/>
  <c r="H15" i="8"/>
  <c r="H19" i="8"/>
  <c r="K15" i="8"/>
  <c r="I19" i="8"/>
  <c r="E17" i="8"/>
  <c r="M17" i="8"/>
  <c r="K19" i="8"/>
  <c r="F17" i="8"/>
  <c r="L19" i="8"/>
  <c r="G17" i="8"/>
  <c r="E19" i="8"/>
  <c r="M19" i="8"/>
  <c r="H17" i="8"/>
  <c r="F19" i="8"/>
  <c r="L15" i="8"/>
  <c r="E15" i="8"/>
  <c r="M15" i="8"/>
  <c r="F15" i="8"/>
  <c r="G15" i="8"/>
  <c r="I15" i="8"/>
  <c r="J15" i="8"/>
  <c r="U17" i="8" l="1"/>
  <c r="G20" i="8"/>
  <c r="L20" i="8"/>
  <c r="D20" i="8"/>
  <c r="I20" i="8"/>
  <c r="J20" i="8"/>
  <c r="F20" i="8"/>
  <c r="K20" i="8"/>
  <c r="M20" i="8"/>
  <c r="E20" i="8"/>
  <c r="H20" i="8"/>
  <c r="V17" i="8" l="1"/>
  <c r="U16" i="8"/>
  <c r="N14" i="8"/>
  <c r="T27" i="8"/>
  <c r="U27" i="8"/>
  <c r="V27" i="8"/>
  <c r="P27" i="8"/>
  <c r="G21" i="8"/>
  <c r="M21" i="8"/>
  <c r="L21" i="8"/>
  <c r="K21" i="8"/>
  <c r="J21" i="8"/>
  <c r="I21" i="8"/>
  <c r="V16" i="8" l="1"/>
  <c r="V9" i="15"/>
  <c r="V9" i="16"/>
  <c r="U9" i="16"/>
  <c r="U9" i="15"/>
  <c r="P9" i="16"/>
  <c r="P9" i="15"/>
  <c r="T9" i="16"/>
  <c r="T9" i="15"/>
  <c r="N27" i="8"/>
  <c r="N28" i="8" s="1"/>
  <c r="N58" i="8" s="1"/>
  <c r="D27" i="8"/>
  <c r="D28" i="8" s="1"/>
  <c r="D58" i="8" s="1"/>
  <c r="S27" i="8"/>
  <c r="M27" i="8"/>
  <c r="M28" i="8" s="1"/>
  <c r="M58" i="8" s="1"/>
  <c r="O27" i="8"/>
  <c r="O21" i="8"/>
  <c r="Q27" i="8"/>
  <c r="R27" i="8"/>
  <c r="C28" i="8"/>
  <c r="J27" i="8"/>
  <c r="J28" i="8" s="1"/>
  <c r="J58" i="8" s="1"/>
  <c r="E27" i="8"/>
  <c r="E28" i="8" s="1"/>
  <c r="E58" i="8" s="1"/>
  <c r="K27" i="8"/>
  <c r="K28" i="8" s="1"/>
  <c r="K58" i="8" s="1"/>
  <c r="G27" i="8"/>
  <c r="G28" i="8" s="1"/>
  <c r="G58" i="8" s="1"/>
  <c r="H27" i="8"/>
  <c r="H28" i="8" s="1"/>
  <c r="H58" i="8" s="1"/>
  <c r="F27" i="8"/>
  <c r="F28" i="8" s="1"/>
  <c r="F58" i="8" s="1"/>
  <c r="I27" i="8"/>
  <c r="I28" i="8" s="1"/>
  <c r="I58" i="8" s="1"/>
  <c r="L27" i="8"/>
  <c r="L28" i="8" s="1"/>
  <c r="L58" i="8" s="1"/>
  <c r="L59" i="8" l="1"/>
  <c r="L62" i="8" s="1"/>
  <c r="M59" i="8"/>
  <c r="M62" i="8" s="1"/>
  <c r="N59" i="8"/>
  <c r="N62" i="8" s="1"/>
  <c r="C31" i="8"/>
  <c r="C47" i="8" s="1"/>
  <c r="H15" i="19"/>
  <c r="O9" i="15"/>
  <c r="B7" i="19" s="1"/>
  <c r="O9" i="16"/>
  <c r="B15" i="19" s="1"/>
  <c r="G7" i="19"/>
  <c r="G15" i="19"/>
  <c r="S9" i="15"/>
  <c r="S9" i="16"/>
  <c r="F15" i="19" s="1"/>
  <c r="R9" i="15"/>
  <c r="R9" i="16"/>
  <c r="Q9" i="15"/>
  <c r="C7" i="19" s="1"/>
  <c r="Q9" i="16"/>
  <c r="C15" i="19" s="1"/>
  <c r="H7" i="19"/>
  <c r="P21" i="8"/>
  <c r="Q21" i="8" s="1"/>
  <c r="R21" i="8" s="1"/>
  <c r="S21" i="8" s="1"/>
  <c r="T21" i="8" s="1"/>
  <c r="U21" i="8" s="1"/>
  <c r="V21" i="8" s="1"/>
  <c r="O14" i="8"/>
  <c r="S40" i="8"/>
  <c r="N35" i="8"/>
  <c r="M34" i="8"/>
  <c r="O36" i="8"/>
  <c r="L33" i="8"/>
  <c r="R39" i="8"/>
  <c r="T41" i="8"/>
  <c r="P37" i="8"/>
  <c r="K32" i="8"/>
  <c r="V43" i="8"/>
  <c r="U42" i="8"/>
  <c r="Q38" i="8"/>
  <c r="J31" i="8"/>
  <c r="U39" i="8"/>
  <c r="S37" i="8"/>
  <c r="N32" i="8"/>
  <c r="Q35" i="8"/>
  <c r="T38" i="8"/>
  <c r="M31" i="8"/>
  <c r="V40" i="8"/>
  <c r="P34" i="8"/>
  <c r="R36" i="8"/>
  <c r="O33" i="8"/>
  <c r="M39" i="8"/>
  <c r="K37" i="8"/>
  <c r="F32" i="8"/>
  <c r="Q43" i="8"/>
  <c r="P42" i="8"/>
  <c r="I35" i="8"/>
  <c r="R44" i="8"/>
  <c r="O41" i="8"/>
  <c r="L38" i="8"/>
  <c r="E31" i="8"/>
  <c r="H34" i="8"/>
  <c r="S45" i="8"/>
  <c r="N40" i="8"/>
  <c r="J36" i="8"/>
  <c r="G33" i="8"/>
  <c r="T46" i="8"/>
  <c r="P38" i="8"/>
  <c r="I31" i="8"/>
  <c r="R40" i="8"/>
  <c r="M35" i="8"/>
  <c r="L34" i="8"/>
  <c r="U43" i="8"/>
  <c r="N36" i="8"/>
  <c r="K33" i="8"/>
  <c r="Q39" i="8"/>
  <c r="T42" i="8"/>
  <c r="O37" i="8"/>
  <c r="J32" i="8"/>
  <c r="V44" i="8"/>
  <c r="S41" i="8"/>
  <c r="I36" i="8"/>
  <c r="F33" i="8"/>
  <c r="S46" i="8"/>
  <c r="R45" i="8"/>
  <c r="L39" i="8"/>
  <c r="J37" i="8"/>
  <c r="E32" i="8"/>
  <c r="P43" i="8"/>
  <c r="O42" i="8"/>
  <c r="Q44" i="8"/>
  <c r="N41" i="8"/>
  <c r="K38" i="8"/>
  <c r="D31" i="8"/>
  <c r="M40" i="8"/>
  <c r="H35" i="8"/>
  <c r="G34" i="8"/>
  <c r="L37" i="8"/>
  <c r="G32" i="8"/>
  <c r="R43" i="8"/>
  <c r="Q42" i="8"/>
  <c r="S44" i="8"/>
  <c r="P41" i="8"/>
  <c r="H33" i="8"/>
  <c r="U46" i="8"/>
  <c r="M38" i="8"/>
  <c r="F31" i="8"/>
  <c r="K36" i="8"/>
  <c r="T45" i="8"/>
  <c r="O40" i="8"/>
  <c r="J35" i="8"/>
  <c r="I34" i="8"/>
  <c r="N39" i="8"/>
  <c r="J38" i="8"/>
  <c r="R46" i="8"/>
  <c r="Q45" i="8"/>
  <c r="I37" i="8"/>
  <c r="D32" i="8"/>
  <c r="P44" i="8"/>
  <c r="H36" i="8"/>
  <c r="O43" i="8"/>
  <c r="G35" i="8"/>
  <c r="N42" i="8"/>
  <c r="F34" i="8"/>
  <c r="L40" i="8"/>
  <c r="M41" i="8"/>
  <c r="E33" i="8"/>
  <c r="K39" i="8"/>
  <c r="T37" i="8"/>
  <c r="O32" i="8"/>
  <c r="P33" i="8"/>
  <c r="S36" i="8"/>
  <c r="U38" i="8"/>
  <c r="N31" i="8"/>
  <c r="R35" i="8"/>
  <c r="Q34" i="8"/>
  <c r="V39" i="8"/>
  <c r="U44" i="8"/>
  <c r="R41" i="8"/>
  <c r="N37" i="8"/>
  <c r="O38" i="8"/>
  <c r="H31" i="8"/>
  <c r="V45" i="8"/>
  <c r="Q40" i="8"/>
  <c r="L35" i="8"/>
  <c r="K34" i="8"/>
  <c r="I32" i="8"/>
  <c r="M36" i="8"/>
  <c r="J33" i="8"/>
  <c r="P39" i="8"/>
  <c r="T43" i="8"/>
  <c r="S42" i="8"/>
  <c r="Q36" i="8"/>
  <c r="N33" i="8"/>
  <c r="T39" i="8"/>
  <c r="U40" i="8"/>
  <c r="R37" i="8"/>
  <c r="M32" i="8"/>
  <c r="V41" i="8"/>
  <c r="S38" i="8"/>
  <c r="L31" i="8"/>
  <c r="P35" i="8"/>
  <c r="O34" i="8"/>
  <c r="S43" i="8"/>
  <c r="R42" i="8"/>
  <c r="V46" i="8"/>
  <c r="T44" i="8"/>
  <c r="Q41" i="8"/>
  <c r="O39" i="8"/>
  <c r="N38" i="8"/>
  <c r="G31" i="8"/>
  <c r="U45" i="8"/>
  <c r="P40" i="8"/>
  <c r="K35" i="8"/>
  <c r="J34" i="8"/>
  <c r="L36" i="8"/>
  <c r="I33" i="8"/>
  <c r="M37" i="8"/>
  <c r="H32" i="8"/>
  <c r="O35" i="8"/>
  <c r="N34" i="8"/>
  <c r="P36" i="8"/>
  <c r="M33" i="8"/>
  <c r="S39" i="8"/>
  <c r="R38" i="8"/>
  <c r="K31" i="8"/>
  <c r="Q37" i="8"/>
  <c r="L32" i="8"/>
  <c r="V42" i="8"/>
  <c r="U41" i="8"/>
  <c r="T40" i="8"/>
  <c r="D15" i="19" l="1"/>
  <c r="D7" i="19"/>
  <c r="E15" i="19"/>
  <c r="E7" i="19"/>
  <c r="F7" i="19"/>
  <c r="D47" i="8"/>
  <c r="G47" i="8"/>
  <c r="N47" i="8"/>
  <c r="N50" i="8" s="1"/>
  <c r="F47" i="8"/>
  <c r="H47" i="8"/>
  <c r="E47" i="8"/>
  <c r="I47" i="8"/>
  <c r="J47" i="8"/>
  <c r="M47" i="8"/>
  <c r="M50" i="8" s="1"/>
  <c r="L47" i="8"/>
  <c r="K47" i="8"/>
  <c r="P14" i="8"/>
  <c r="O28" i="8"/>
  <c r="O58" i="8" s="1"/>
  <c r="O59" i="8" l="1"/>
  <c r="O62" i="8" s="1"/>
  <c r="L50" i="8"/>
  <c r="V38" i="8"/>
  <c r="O31" i="8"/>
  <c r="O47" i="8" s="1"/>
  <c r="S35" i="8"/>
  <c r="R34" i="8"/>
  <c r="T36" i="8"/>
  <c r="Q33" i="8"/>
  <c r="U37" i="8"/>
  <c r="P32" i="8"/>
  <c r="Q14" i="8"/>
  <c r="P28" i="8"/>
  <c r="P58" i="8" s="1"/>
  <c r="P59" i="8" l="1"/>
  <c r="P62" i="8" s="1"/>
  <c r="O67" i="16"/>
  <c r="O5" i="16"/>
  <c r="O50" i="8"/>
  <c r="O5" i="15"/>
  <c r="Q32" i="8"/>
  <c r="P31" i="8"/>
  <c r="P47" i="8" s="1"/>
  <c r="P67" i="8" s="1"/>
  <c r="P67" i="15" s="1"/>
  <c r="V37" i="8"/>
  <c r="T35" i="8"/>
  <c r="S34" i="8"/>
  <c r="U36" i="8"/>
  <c r="R33" i="8"/>
  <c r="R14" i="8"/>
  <c r="Q28" i="8"/>
  <c r="Q58" i="8" s="1"/>
  <c r="Q59" i="8" s="1"/>
  <c r="Q62" i="8" s="1"/>
  <c r="S14" i="8" l="1"/>
  <c r="T14" i="8" s="1"/>
  <c r="T28" i="8" s="1"/>
  <c r="T58" i="8" s="1"/>
  <c r="O67" i="15"/>
  <c r="P5" i="16"/>
  <c r="P67" i="16"/>
  <c r="O7" i="16"/>
  <c r="O6" i="15"/>
  <c r="O6" i="16"/>
  <c r="P50" i="8"/>
  <c r="P5" i="15"/>
  <c r="Q31" i="8"/>
  <c r="Q47" i="8" s="1"/>
  <c r="Q67" i="8" s="1"/>
  <c r="Q67" i="15" s="1"/>
  <c r="U35" i="8"/>
  <c r="T34" i="8"/>
  <c r="V36" i="8"/>
  <c r="S33" i="8"/>
  <c r="R32" i="8"/>
  <c r="R28" i="8"/>
  <c r="R58" i="8" s="1"/>
  <c r="R59" i="8" s="1"/>
  <c r="R62" i="8" s="1"/>
  <c r="U14" i="8" l="1"/>
  <c r="U28" i="8" s="1"/>
  <c r="U58" i="8" s="1"/>
  <c r="S28" i="8"/>
  <c r="S58" i="8" s="1"/>
  <c r="T59" i="8" s="1"/>
  <c r="T62" i="8" s="1"/>
  <c r="O8" i="16"/>
  <c r="B3" i="19"/>
  <c r="O7" i="15"/>
  <c r="O8" i="15" s="1"/>
  <c r="B11" i="19"/>
  <c r="Q5" i="16"/>
  <c r="Q67" i="16"/>
  <c r="P7" i="15"/>
  <c r="P7" i="16"/>
  <c r="B13" i="19" s="1"/>
  <c r="Q50" i="8"/>
  <c r="Q5" i="15"/>
  <c r="V33" i="8"/>
  <c r="U32" i="8"/>
  <c r="T31" i="8"/>
  <c r="V35" i="8"/>
  <c r="U34" i="8"/>
  <c r="T33" i="8"/>
  <c r="S32" i="8"/>
  <c r="R31" i="8"/>
  <c r="R47" i="8" s="1"/>
  <c r="R67" i="8" s="1"/>
  <c r="R67" i="15" s="1"/>
  <c r="T32" i="8" l="1"/>
  <c r="T47" i="8" s="1"/>
  <c r="T67" i="8" s="1"/>
  <c r="S31" i="8"/>
  <c r="S47" i="8" s="1"/>
  <c r="S67" i="8" s="1"/>
  <c r="S67" i="15" s="1"/>
  <c r="V34" i="8"/>
  <c r="U33" i="8"/>
  <c r="S59" i="8"/>
  <c r="S62" i="8" s="1"/>
  <c r="V14" i="8"/>
  <c r="V28" i="8" s="1"/>
  <c r="V58" i="8" s="1"/>
  <c r="V59" i="8" s="1"/>
  <c r="V62" i="8" s="1"/>
  <c r="C3" i="19"/>
  <c r="B5" i="19"/>
  <c r="C11" i="19"/>
  <c r="U59" i="8"/>
  <c r="U62" i="8" s="1"/>
  <c r="P6" i="15"/>
  <c r="P6" i="16"/>
  <c r="R5" i="16"/>
  <c r="R67" i="16"/>
  <c r="Q7" i="15"/>
  <c r="C5" i="19" s="1"/>
  <c r="Q7" i="16"/>
  <c r="C13" i="19" s="1"/>
  <c r="Q6" i="16"/>
  <c r="R50" i="8"/>
  <c r="R5" i="15"/>
  <c r="V32" i="8"/>
  <c r="U31" i="8"/>
  <c r="V31" i="8" l="1"/>
  <c r="V47" i="8" s="1"/>
  <c r="V5" i="15" s="1"/>
  <c r="T67" i="15"/>
  <c r="T67" i="16"/>
  <c r="Q8" i="16"/>
  <c r="D3" i="19"/>
  <c r="B4" i="19"/>
  <c r="P8" i="15"/>
  <c r="B12" i="19"/>
  <c r="P8" i="16"/>
  <c r="B14" i="19" s="1"/>
  <c r="D11" i="19"/>
  <c r="C12" i="19"/>
  <c r="Q6" i="15"/>
  <c r="T5" i="16"/>
  <c r="S5" i="16"/>
  <c r="S67" i="16"/>
  <c r="R6" i="15"/>
  <c r="R6" i="16"/>
  <c r="D12" i="19" s="1"/>
  <c r="R7" i="15"/>
  <c r="D5" i="19" s="1"/>
  <c r="R7" i="16"/>
  <c r="D13" i="19" s="1"/>
  <c r="S50" i="8"/>
  <c r="S5" i="15"/>
  <c r="T50" i="8"/>
  <c r="T5" i="15"/>
  <c r="U47" i="8"/>
  <c r="U67" i="8" s="1"/>
  <c r="U67" i="15" s="1"/>
  <c r="V50" i="8" l="1"/>
  <c r="V5" i="16"/>
  <c r="R8" i="15"/>
  <c r="E3" i="19"/>
  <c r="C4" i="19"/>
  <c r="Q8" i="15"/>
  <c r="R8" i="16"/>
  <c r="E11" i="19"/>
  <c r="V67" i="8"/>
  <c r="V67" i="15" s="1"/>
  <c r="V7" i="15" s="1"/>
  <c r="D4" i="19"/>
  <c r="F11" i="19"/>
  <c r="U5" i="16"/>
  <c r="U67" i="16"/>
  <c r="F3" i="19"/>
  <c r="B6" i="19"/>
  <c r="S6" i="15"/>
  <c r="E4" i="19" s="1"/>
  <c r="S6" i="16"/>
  <c r="E12" i="19" s="1"/>
  <c r="V6" i="15"/>
  <c r="V6" i="16"/>
  <c r="T7" i="15"/>
  <c r="T7" i="16"/>
  <c r="S7" i="15"/>
  <c r="E5" i="19" s="1"/>
  <c r="S7" i="16"/>
  <c r="E13" i="19" s="1"/>
  <c r="T6" i="15"/>
  <c r="T6" i="16"/>
  <c r="U50" i="8"/>
  <c r="U5" i="15"/>
  <c r="J3" i="19" l="1"/>
  <c r="T8" i="16"/>
  <c r="J11" i="19"/>
  <c r="V8" i="15"/>
  <c r="T8" i="15"/>
  <c r="S8" i="15"/>
  <c r="G3" i="19"/>
  <c r="G11" i="19"/>
  <c r="S8" i="16"/>
  <c r="V67" i="16"/>
  <c r="H11" i="19"/>
  <c r="F13" i="19"/>
  <c r="J13" i="19" s="1"/>
  <c r="F12" i="19"/>
  <c r="J12" i="19" s="1"/>
  <c r="F4" i="19"/>
  <c r="J4" i="19" s="1"/>
  <c r="F5" i="19"/>
  <c r="J5" i="19" s="1"/>
  <c r="H3" i="19"/>
  <c r="U7" i="15"/>
  <c r="G5" i="19" s="1"/>
  <c r="U7" i="16"/>
  <c r="G13" i="19" s="1"/>
  <c r="U6" i="15"/>
  <c r="G4" i="19" s="1"/>
  <c r="U6" i="16"/>
  <c r="G12" i="19" s="1"/>
  <c r="F6" i="19" l="1"/>
  <c r="U8" i="15"/>
  <c r="U8" i="16"/>
  <c r="V7" i="16"/>
  <c r="H12" i="19"/>
  <c r="H5" i="19"/>
  <c r="H4" i="19"/>
  <c r="C14" i="19"/>
  <c r="H13" i="19" l="1"/>
  <c r="V8" i="16"/>
  <c r="C6" i="19"/>
  <c r="D14" i="19"/>
  <c r="D6" i="19"/>
  <c r="H14" i="19" l="1"/>
  <c r="E6" i="19"/>
  <c r="G14" i="19" l="1"/>
  <c r="F14" i="19"/>
  <c r="E14" i="19"/>
  <c r="J6" i="19"/>
  <c r="J14" i="19" l="1"/>
  <c r="L2" i="16" s="1"/>
  <c r="G6" i="19"/>
  <c r="H6" i="19"/>
</calcChain>
</file>

<file path=xl/sharedStrings.xml><?xml version="1.0" encoding="utf-8"?>
<sst xmlns="http://schemas.openxmlformats.org/spreadsheetml/2006/main" count="311" uniqueCount="157">
  <si>
    <t>0 to 80</t>
  </si>
  <si>
    <t>&gt;80 to 85</t>
  </si>
  <si>
    <t>&gt;85 to 90</t>
  </si>
  <si>
    <t>&gt;90 to 95</t>
  </si>
  <si>
    <t>Investment Income</t>
  </si>
  <si>
    <t>Earning Patterns for HO business</t>
  </si>
  <si>
    <t>Duration/Age</t>
  </si>
  <si>
    <t>Unearned Premium Factor</t>
  </si>
  <si>
    <t>HO &lt;= 90% LTV</t>
  </si>
  <si>
    <t>HO &gt; 90% LTV</t>
  </si>
  <si>
    <t>Average Home Sale Price</t>
  </si>
  <si>
    <t>Year</t>
  </si>
  <si>
    <t>Total</t>
  </si>
  <si>
    <t>Representative Mortgage Calculations</t>
  </si>
  <si>
    <t>Representative Mortgage Premium</t>
  </si>
  <si>
    <t>Number of Homes CMHC Insured</t>
  </si>
  <si>
    <t>Weighted by portion greater than 90%</t>
  </si>
  <si>
    <t>Total Mortgage Premium (Millions)</t>
  </si>
  <si>
    <t>CMHC Market Share</t>
  </si>
  <si>
    <t>Residential Capital Stock</t>
  </si>
  <si>
    <t>Growth</t>
  </si>
  <si>
    <t>Earned Premiums and Fees</t>
  </si>
  <si>
    <t>Estimating Earned Premiums and Fees</t>
  </si>
  <si>
    <t>Earned Premiums and Fees (CMHC)</t>
  </si>
  <si>
    <t>Estimating Investment Income</t>
  </si>
  <si>
    <t>Investment Income (CMHC)</t>
  </si>
  <si>
    <t>Model</t>
  </si>
  <si>
    <t>Realized Premiums</t>
  </si>
  <si>
    <t>CMHC Mortgage Insurance Premiums Realized over Time</t>
  </si>
  <si>
    <t>CMHC Mortgage Insurance Premiums</t>
  </si>
  <si>
    <t>Loan to Values</t>
  </si>
  <si>
    <t>Number of homes in each LTV category</t>
  </si>
  <si>
    <t>By number of homes</t>
  </si>
  <si>
    <t>By percentage of total</t>
  </si>
  <si>
    <t>Probability weighted mortgage insurance premiums</t>
  </si>
  <si>
    <t>Probability weighted mortgage insurance realizations</t>
  </si>
  <si>
    <t>Residual</t>
  </si>
  <si>
    <t>Estimating Incurred Claims</t>
  </si>
  <si>
    <t>Incurred Claims (CMHC)</t>
  </si>
  <si>
    <t>Incurred Claims</t>
  </si>
  <si>
    <t>Increase Number of Homes Insured by X%</t>
  </si>
  <si>
    <t>Policy/Objective:</t>
  </si>
  <si>
    <t>Cost of CMHC decreasing the mortgage insurance premiums that it may charge by 25% relative to current levels</t>
  </si>
  <si>
    <t>Datasets and Variables</t>
  </si>
  <si>
    <t>CMHC</t>
  </si>
  <si>
    <t>Information on the timing of when CMHC mortgage insurance premiums are realized</t>
  </si>
  <si>
    <t>Information on the mortgage insurance premiums charged for different LTV categories</t>
  </si>
  <si>
    <t>Number homes sold by LTV category</t>
  </si>
  <si>
    <t>PBO</t>
  </si>
  <si>
    <t>Real residential capital stock</t>
  </si>
  <si>
    <t>Average home price</t>
  </si>
  <si>
    <t>Forecast of various components of income statement</t>
  </si>
  <si>
    <t>Methodology</t>
  </si>
  <si>
    <t>Model Inputs:</t>
  </si>
  <si>
    <t>Calculate weighted average of the mortgage insurance premiums by LTV category, with the weighting factor corresponding to the percentage of homes in each category</t>
  </si>
  <si>
    <t>Calculate the weighted average of the amount of the mortgage that is left to be insured after a down payment had been made</t>
  </si>
  <si>
    <t>Probability weighted percentage of mortgage to insure</t>
  </si>
  <si>
    <t>Calculate the weighted average of the amount of the mortgage insurance premium that is to be realized each year</t>
  </si>
  <si>
    <t>Different amounts realized depending on if the mortgage is in the &gt;90 or &lt;= 90 LTV range</t>
  </si>
  <si>
    <t>Estimate - Baseline</t>
  </si>
  <si>
    <t>Estimate number of homes to be insured</t>
  </si>
  <si>
    <t>Construct representative mortgage</t>
  </si>
  <si>
    <t>Calculate the growth in the number of homes that CMHC insures each year</t>
  </si>
  <si>
    <t>Forecast the number of homes to be insured by growing the historic value by the change in the real residential capital stock and CMHC's market share, and then scaling it by the median of the historic residuals</t>
  </si>
  <si>
    <t>Scale this down to reflect the weighted average of the amount of the mortgage that is left to be insured</t>
  </si>
  <si>
    <t>Multiply this by the weighted average mortgage insurance premium</t>
  </si>
  <si>
    <t xml:space="preserve">Realize the mortgages over a 15 year period according to the schedule that CMHC provided, weighted for the LTV category that the mortgages fall into. </t>
  </si>
  <si>
    <t>Calculate total increase in unrealized mortgage premiums received by CMHC each year by multiplying the number of homes to be insured by the representative mortgage, then adjust so that it is measured in millions of dollars</t>
  </si>
  <si>
    <t>Estimate - Rate Decline</t>
  </si>
  <si>
    <t>Estimate - Scenario</t>
  </si>
  <si>
    <t>Weight realization series according to the presence in each year of mortgages in these categories.</t>
  </si>
  <si>
    <t>Detrend this growth by the growth in the real residential capital stock, as well as the growth in CMHC's market share</t>
  </si>
  <si>
    <t>Calculate the residual growth after detrending</t>
  </si>
  <si>
    <t>Cost of the Policy</t>
  </si>
  <si>
    <t>Decrease Mortgage Insurance Premiums by X%:</t>
  </si>
  <si>
    <t>Add X% to CMHC's Market Share:</t>
  </si>
  <si>
    <t>Incurred Claims as a Percentage of Earned Premiums and Fees</t>
  </si>
  <si>
    <t>Change in Earned Fees and Premiums</t>
  </si>
  <si>
    <t>Change in Investment Income</t>
  </si>
  <si>
    <t>Change in Incurred Expenses</t>
  </si>
  <si>
    <t>Main Assumptions</t>
  </si>
  <si>
    <t>2022-2023</t>
  </si>
  <si>
    <t>2023-2024</t>
  </si>
  <si>
    <t>2024-2025</t>
  </si>
  <si>
    <t>2026-2027</t>
  </si>
  <si>
    <t>2025-2026</t>
  </si>
  <si>
    <t>2027-2028</t>
  </si>
  <si>
    <t>2028-2029</t>
  </si>
  <si>
    <t>Cost Per Mortgage</t>
  </si>
  <si>
    <t>Average LTV for loans with LTV &lt;80</t>
  </si>
  <si>
    <t>Expected Return</t>
  </si>
  <si>
    <t>Yearly Interest Rate - Forecast</t>
  </si>
  <si>
    <t>Investment Income From Premiums</t>
  </si>
  <si>
    <t xml:space="preserve">Where premiums changed in a year the rates are weighted proportionately to the amount of time that passed before/after the change. </t>
  </si>
  <si>
    <t>When we don’t have information on the number of homes insured each year, use an average of the 5 most recent years of data where we do</t>
  </si>
  <si>
    <t xml:space="preserve">For LTV's less than 80%, using an average LTV that was provided by CMHC, where greater than 80% using the midpoint between the two ranges that determine rate. </t>
  </si>
  <si>
    <t xml:space="preserve">This value captures the growth in the number of homes insured that is not explained by readily available information. </t>
  </si>
  <si>
    <t xml:space="preserve">The 2022 value is forecasted using the number of houses insured in 2020, and growing using 2022 values. This is due to a change in underwriting practices that occurred in 2020 (which have since been reverted) causing this year to be a significant outlier. </t>
  </si>
  <si>
    <t>Take the average home price forecast</t>
  </si>
  <si>
    <t>Summing the amounts realized each year for the different loan cohorts will provide an estimate of the total earned premiums and fees for that year</t>
  </si>
  <si>
    <t>Calculate investment income</t>
  </si>
  <si>
    <t>Take the interest rate associated with debt instruments at their fair value other than comprehensive income</t>
  </si>
  <si>
    <t>Calculate the difference between this and the 30 year bond yield</t>
  </si>
  <si>
    <t>For each year, multiply the interest rate by the earned fees and premiums in that year</t>
  </si>
  <si>
    <t>This gives the income associated with assets purchased using those earned fees and premiums for each year that CMHC holds those assets</t>
  </si>
  <si>
    <t>Estimate investment income by summing the yearly income streams over the last 8 years</t>
  </si>
  <si>
    <t>8 years was selected as a simplifying assumption due to not knowing the exact breakdown of CMHC's investment portfolio and the time to maturity of the assets that they hold</t>
  </si>
  <si>
    <t>Same process as the baseline, but apply a 25% decrease to the representative mortgage insurance premium</t>
  </si>
  <si>
    <t>Allows for the impact of the policy shock to be estimated, all else being equal</t>
  </si>
  <si>
    <t>Similar process to baseline</t>
  </si>
  <si>
    <t>The number of homes that CMHC can insure, CMHC's market share, and the rate decline can all be configured</t>
  </si>
  <si>
    <t>Incurred claims are scaled proportionately to the change in the number of homes insured over a 5 year period in the scenario relative to the baseline</t>
  </si>
  <si>
    <t>Changing the number of homes insured should be interpreted as a market wide  multiplicative increase in the number of homes to be insured, both CMHC and private insurers would insure more or less homes depending on how this is configured</t>
  </si>
  <si>
    <t>Rate decline can be configured as desired. 25% was used in the report in its main findings and its scenario analysis</t>
  </si>
  <si>
    <t>Past LTV distributions are a good predictor of future LTV distributions</t>
  </si>
  <si>
    <t>Incurred claims will only increase in response and in proportion to the change in the number of homes insured</t>
  </si>
  <si>
    <t>Other components of CMHC's comprehensive income will be stable in response to the policy change</t>
  </si>
  <si>
    <t>From Response to Information Request IR0610</t>
  </si>
  <si>
    <t>Yearly Interest Rate - Actual</t>
  </si>
  <si>
    <t>From response to Information Request IR0610</t>
  </si>
  <si>
    <t>Using historic values where available</t>
  </si>
  <si>
    <t>PBO forecast</t>
  </si>
  <si>
    <t>From CMHC annual reports</t>
  </si>
  <si>
    <t>Estimated using the same percentage of earned premiums and fees as CMHC</t>
  </si>
  <si>
    <t>Using same value as baseline due to the same number of homes being insured</t>
  </si>
  <si>
    <t>Scaled relative to baseline to account for the increase in the change in number of homes insured and subsequent change in number of homes that can enter into default</t>
  </si>
  <si>
    <t>Five Year Fiscal Cost:</t>
  </si>
  <si>
    <t>Result is the premium charged to insure the average home in that year (in dollars)</t>
  </si>
  <si>
    <t>Values from this point on are measured in terms of millions of dollars</t>
  </si>
  <si>
    <t xml:space="preserve">Consolidate the residual for year 16 onwards into one final observation, this was done to simplify the series. </t>
  </si>
  <si>
    <t>When information on the interest rate that CMHC actually receives is available use that</t>
  </si>
  <si>
    <t xml:space="preserve">Otherwise add the median of the premium over the period that we have data for to the 30 year treasury bond yield forecast. </t>
  </si>
  <si>
    <t>All other parameters that would influence revenue are held constant</t>
  </si>
  <si>
    <t>Changing CMHC's market share adds to CMHC's market in each year, relative to a baseline market share, in this case CMHC would be gaining additional market share at the expense of private insurers</t>
  </si>
  <si>
    <t>Percentage Difference</t>
  </si>
  <si>
    <t>Estimation of the Number of Homes that CMHC will Insure</t>
  </si>
  <si>
    <t>Residual Growth After Accounting for Other Factors</t>
  </si>
  <si>
    <t>Median of Historical Data</t>
  </si>
  <si>
    <t>Premium Weighted by LTV proportion</t>
  </si>
  <si>
    <t>Percentage of Mortgage to Insure Weighted by LTV Proportion</t>
  </si>
  <si>
    <t>Premium Realized for Mortgages that have Existed for X Years:</t>
  </si>
  <si>
    <t>Consolidate the Residual</t>
  </si>
  <si>
    <t>Comparison to CMHC Baseline Forecast:</t>
  </si>
  <si>
    <t>30-Year Treasury Bond Yield</t>
  </si>
  <si>
    <t>Difference Between 30-Year Treasury Bond Yield and CMHC Yield</t>
  </si>
  <si>
    <t>Calculate incurred claims</t>
  </si>
  <si>
    <t>Calculated CMHC's incurred claims as a percentage of CMHC's earned fees and premiums for each year</t>
  </si>
  <si>
    <t>Multiply PBO calculation of earned premiums and fees by this calculation</t>
  </si>
  <si>
    <t>Total for 2022-2023 to 2026-2027</t>
  </si>
  <si>
    <t>Homes are insured uniformly over the course of the year</t>
  </si>
  <si>
    <t>Necessary to model the impact of the policy at an aggregate level</t>
  </si>
  <si>
    <t xml:space="preserve">Taxes were not modeled to respond to the change. </t>
  </si>
  <si>
    <t xml:space="preserve">This is due to the fact that from the government's perspective a change in tax income from CMHC nets to 0. </t>
  </si>
  <si>
    <t xml:space="preserve">If CMHC's tax burden increases then the government earns more income, but loses the same amount of income due to CMHC having less profits. </t>
  </si>
  <si>
    <t>Scenario analysis of how the above policy change combined with changes to market share or the number of homes insured further influences CMHC's profits</t>
  </si>
  <si>
    <t>The resulting value is the premium (discount) that CMHC receives over the 30 year bond yield</t>
  </si>
  <si>
    <t>Necessary to be able to estimate future LTV distributions and model their effects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</si>
</sst>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2"/>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1">
    <border>
      <left/>
      <right/>
      <top/>
      <bottom/>
      <diagonal/>
    </border>
  </borders>
  <cellStyleXfs count="6">
    <xf numFmtId="0" fontId="0" fillId="0" borderId="0"/>
    <xf numFmtId="164" fontId="2" fillId="0" borderId="0" applyFont="0" applyFill="0" applyBorder="0" applyAlignment="0" applyProtection="0"/>
    <xf numFmtId="0" fontId="2" fillId="0" borderId="0"/>
    <xf numFmtId="0" fontId="3" fillId="0" borderId="0"/>
    <xf numFmtId="0" fontId="3" fillId="0" borderId="0"/>
    <xf numFmtId="9" fontId="2" fillId="0" borderId="0" applyFont="0" applyFill="0" applyBorder="0" applyAlignment="0" applyProtection="0"/>
  </cellStyleXfs>
  <cellXfs count="24">
    <xf numFmtId="0" fontId="0" fillId="0" borderId="0" xfId="0"/>
    <xf numFmtId="0" fontId="0" fillId="0" borderId="0" xfId="0" applyAlignment="1">
      <alignment horizontal="left"/>
    </xf>
    <xf numFmtId="2" fontId="0" fillId="0" borderId="0" xfId="0" applyNumberFormat="1"/>
    <xf numFmtId="0" fontId="0" fillId="0" borderId="0" xfId="0" applyAlignment="1">
      <alignment horizontal="left" indent="1"/>
    </xf>
    <xf numFmtId="0" fontId="0" fillId="2" borderId="0" xfId="0" applyFill="1"/>
    <xf numFmtId="0" fontId="0" fillId="3" borderId="0" xfId="0" applyFill="1"/>
    <xf numFmtId="0" fontId="1" fillId="0" borderId="0" xfId="0" applyFont="1"/>
    <xf numFmtId="0" fontId="0" fillId="0" borderId="0" xfId="0" applyFont="1"/>
    <xf numFmtId="0" fontId="0" fillId="0" borderId="0" xfId="0" applyAlignment="1">
      <alignment horizontal="right"/>
    </xf>
    <xf numFmtId="0" fontId="0" fillId="0" borderId="0" xfId="0" applyAlignment="1">
      <alignment horizontal="left" indent="2"/>
    </xf>
    <xf numFmtId="0" fontId="0" fillId="0" borderId="0" xfId="0" applyAlignment="1">
      <alignment horizontal="left" indent="4"/>
    </xf>
    <xf numFmtId="0" fontId="0" fillId="0" borderId="0" xfId="0" applyAlignment="1">
      <alignment horizontal="left" indent="6"/>
    </xf>
    <xf numFmtId="0" fontId="0" fillId="0" borderId="0" xfId="0" applyAlignment="1">
      <alignment horizontal="left" indent="5"/>
    </xf>
    <xf numFmtId="0" fontId="0" fillId="0" borderId="0" xfId="0" applyNumberFormat="1"/>
    <xf numFmtId="0" fontId="1" fillId="0" borderId="0" xfId="0" applyFont="1" applyBorder="1"/>
    <xf numFmtId="2" fontId="0" fillId="0" borderId="0" xfId="0" applyNumberFormat="1" applyBorder="1"/>
    <xf numFmtId="0" fontId="0" fillId="0" borderId="0" xfId="0" applyAlignment="1">
      <alignment horizontal="center"/>
    </xf>
    <xf numFmtId="0" fontId="1" fillId="0" borderId="0" xfId="0" applyFont="1" applyAlignment="1">
      <alignment horizontal="right"/>
    </xf>
    <xf numFmtId="0" fontId="0" fillId="0" borderId="0" xfId="0" applyFont="1" applyAlignment="1">
      <alignment horizontal="right"/>
    </xf>
    <xf numFmtId="10" fontId="0" fillId="0" borderId="0" xfId="0" applyNumberFormat="1"/>
    <xf numFmtId="10" fontId="0" fillId="0" borderId="0" xfId="0" applyNumberFormat="1" applyFill="1"/>
    <xf numFmtId="0" fontId="0" fillId="0" borderId="0" xfId="0" applyAlignment="1">
      <alignment horizontal="left" indent="3"/>
    </xf>
    <xf numFmtId="0" fontId="0" fillId="0" borderId="0" xfId="0" applyFont="1" applyAlignment="1">
      <alignment horizontal="left" indent="2"/>
    </xf>
    <xf numFmtId="0" fontId="0" fillId="0" borderId="0" xfId="0" applyFill="1"/>
  </cellXfs>
  <cellStyles count="6">
    <cellStyle name="Comma 2" xfId="1"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Percent 2" xfId="5" xr:uid="{00000000-0005-0000-0000-000007000000}"/>
  </cellStyles>
  <dxfs count="0"/>
  <tableStyles count="0" defaultTableStyle="TableStyleMedium2" defaultPivotStyle="PivotStyleLight16"/>
  <colors>
    <mruColors>
      <color rgb="FFE9FDFD"/>
      <color rgb="FFF4FEFE"/>
      <color rgb="FFE7FD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reigM\Documents\Current%20Projects\Other%20Revenues\Crown%20Corp%20Monitoring\Crown%20Corp%20Monitoring%202021%2008%2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_CIQHiddenCacheSheet"/>
      <sheetName val="BDC - Summary"/>
      <sheetName val="BDC - Summary (2)"/>
      <sheetName val="BDC - Quarterly"/>
      <sheetName val="BDC - Quarterly (2)"/>
      <sheetName val="CMHC - Quarterly"/>
      <sheetName val="CMHC - Quarterly (2)"/>
      <sheetName val="EDC - Quarterly"/>
      <sheetName val="EDC - Quarterly (2)"/>
      <sheetName val="FCC - Quarterly"/>
      <sheetName val="FCC - Quarterly (2)"/>
      <sheetName val="Template - Quarterly"/>
      <sheetName val="Backup - Quarterly"/>
      <sheetName val="Total Expenses Estimation"/>
    </sheetNames>
    <sheetDataSet>
      <sheetData sheetId="0"/>
      <sheetData sheetId="1"/>
      <sheetData sheetId="2"/>
      <sheetData sheetId="3"/>
      <sheetData sheetId="4">
        <row r="19">
          <cell r="B19">
            <v>41729</v>
          </cell>
          <cell r="C19">
            <v>41820</v>
          </cell>
          <cell r="D19">
            <v>41912</v>
          </cell>
          <cell r="E19">
            <v>42004</v>
          </cell>
          <cell r="F19">
            <v>42094</v>
          </cell>
          <cell r="G19">
            <v>42185</v>
          </cell>
          <cell r="H19">
            <v>42277</v>
          </cell>
          <cell r="I19">
            <v>42369</v>
          </cell>
          <cell r="J19">
            <v>42460</v>
          </cell>
          <cell r="K19">
            <v>42551</v>
          </cell>
          <cell r="L19">
            <v>42643</v>
          </cell>
          <cell r="M19">
            <v>42735</v>
          </cell>
          <cell r="N19">
            <v>42825</v>
          </cell>
          <cell r="O19">
            <v>42916</v>
          </cell>
          <cell r="P19">
            <v>43008</v>
          </cell>
          <cell r="Q19">
            <v>43100</v>
          </cell>
          <cell r="R19">
            <v>43190</v>
          </cell>
          <cell r="S19">
            <v>43281</v>
          </cell>
          <cell r="T19">
            <v>43373</v>
          </cell>
          <cell r="U19">
            <v>43465</v>
          </cell>
          <cell r="V19">
            <v>43555</v>
          </cell>
          <cell r="W19">
            <v>43646</v>
          </cell>
          <cell r="X19">
            <v>43738</v>
          </cell>
          <cell r="Y19">
            <v>43830</v>
          </cell>
          <cell r="Z19">
            <v>43921</v>
          </cell>
          <cell r="AA19">
            <v>44012</v>
          </cell>
          <cell r="AB19">
            <v>44104</v>
          </cell>
          <cell r="AC19">
            <v>44196</v>
          </cell>
          <cell r="AD19">
            <v>44286</v>
          </cell>
          <cell r="AE19">
            <v>44377</v>
          </cell>
          <cell r="AF19">
            <v>44469</v>
          </cell>
        </row>
        <row r="21">
          <cell r="B21">
            <v>248.29499999999999</v>
          </cell>
          <cell r="C21">
            <v>243.50899999999999</v>
          </cell>
          <cell r="D21">
            <v>261.66199999999998</v>
          </cell>
          <cell r="E21">
            <v>245.13800000000001</v>
          </cell>
          <cell r="F21">
            <v>276.541</v>
          </cell>
          <cell r="G21">
            <v>312.125</v>
          </cell>
          <cell r="H21">
            <v>288.04399999999998</v>
          </cell>
          <cell r="I21">
            <v>305.41300000000001</v>
          </cell>
          <cell r="J21">
            <v>268.55500000000001</v>
          </cell>
          <cell r="K21">
            <v>253.08600000000001</v>
          </cell>
          <cell r="L21">
            <v>280.30099999999999</v>
          </cell>
          <cell r="M21">
            <v>316.92899999999997</v>
          </cell>
          <cell r="N21">
            <v>336.02300000000002</v>
          </cell>
          <cell r="O21">
            <v>318.06900000000002</v>
          </cell>
          <cell r="P21">
            <v>437.67899999999997</v>
          </cell>
          <cell r="Q21">
            <v>330.46600000000001</v>
          </cell>
          <cell r="R21">
            <v>444.02</v>
          </cell>
          <cell r="S21">
            <v>392.58600000000001</v>
          </cell>
          <cell r="T21">
            <v>389.21499999999997</v>
          </cell>
          <cell r="U21">
            <v>390.32499999999999</v>
          </cell>
          <cell r="V21">
            <v>494.74</v>
          </cell>
          <cell r="W21">
            <v>451.24400000000003</v>
          </cell>
          <cell r="X21">
            <v>516.27800000000002</v>
          </cell>
          <cell r="Y21">
            <v>423.87799999999999</v>
          </cell>
          <cell r="Z21">
            <v>-149.57599999999999</v>
          </cell>
          <cell r="AA21">
            <v>498.65300000000002</v>
          </cell>
          <cell r="AB21">
            <v>384.52699999999999</v>
          </cell>
          <cell r="AC21">
            <v>575.22</v>
          </cell>
          <cell r="AD21">
            <v>1372.752</v>
          </cell>
          <cell r="AE21">
            <v>867.83</v>
          </cell>
          <cell r="AF21">
            <v>1084.9069999999999</v>
          </cell>
        </row>
        <row r="23">
          <cell r="B23">
            <v>33.350999999999999</v>
          </cell>
          <cell r="C23">
            <v>35.328000000000003</v>
          </cell>
          <cell r="D23">
            <v>33.933999999999997</v>
          </cell>
          <cell r="E23">
            <v>30.199000000000002</v>
          </cell>
          <cell r="F23">
            <v>33.009</v>
          </cell>
          <cell r="G23">
            <v>34.799999999999997</v>
          </cell>
          <cell r="H23">
            <v>33.634</v>
          </cell>
          <cell r="I23">
            <v>25.722999999999999</v>
          </cell>
          <cell r="J23">
            <v>23.193999999999999</v>
          </cell>
          <cell r="K23">
            <v>17.766999999999999</v>
          </cell>
          <cell r="L23">
            <v>16.861999999999998</v>
          </cell>
          <cell r="M23">
            <v>17.733000000000001</v>
          </cell>
          <cell r="N23">
            <v>19.466000000000001</v>
          </cell>
          <cell r="O23">
            <v>20.369</v>
          </cell>
          <cell r="P23">
            <v>20.486999999999998</v>
          </cell>
          <cell r="Q23">
            <v>19.111999999999998</v>
          </cell>
          <cell r="R23">
            <v>20.806000000000001</v>
          </cell>
          <cell r="S23">
            <v>31.904</v>
          </cell>
          <cell r="T23">
            <v>40.856999999999999</v>
          </cell>
          <cell r="U23">
            <v>50.198999999999998</v>
          </cell>
          <cell r="V23">
            <v>56.457000000000001</v>
          </cell>
          <cell r="W23">
            <v>65.447000000000003</v>
          </cell>
          <cell r="X23">
            <v>80.494</v>
          </cell>
          <cell r="Y23">
            <v>87.147000000000006</v>
          </cell>
          <cell r="Z23">
            <v>92.165000000000006</v>
          </cell>
          <cell r="AA23">
            <v>92.763999999999996</v>
          </cell>
          <cell r="AB23">
            <v>95.603999999999999</v>
          </cell>
          <cell r="AC23">
            <v>85.988</v>
          </cell>
          <cell r="AD23">
            <v>26.512</v>
          </cell>
          <cell r="AE23">
            <v>22.966000000000001</v>
          </cell>
          <cell r="AF23">
            <v>21.925999999999998</v>
          </cell>
        </row>
        <row r="25">
          <cell r="B25">
            <v>98.739000000000004</v>
          </cell>
          <cell r="C25">
            <v>101.81</v>
          </cell>
          <cell r="D25">
            <v>106.529</v>
          </cell>
          <cell r="E25">
            <v>121.68600000000001</v>
          </cell>
          <cell r="F25">
            <v>104.33199999999999</v>
          </cell>
          <cell r="G25">
            <v>105.31100000000001</v>
          </cell>
          <cell r="H25">
            <v>106.961</v>
          </cell>
          <cell r="I25">
            <v>123.633</v>
          </cell>
          <cell r="J25">
            <v>112.956</v>
          </cell>
          <cell r="K25">
            <v>113.72499999999999</v>
          </cell>
          <cell r="L25">
            <v>118.27800000000001</v>
          </cell>
          <cell r="M25">
            <v>130.53800000000001</v>
          </cell>
          <cell r="N25">
            <v>122.905</v>
          </cell>
          <cell r="O25">
            <v>131.57</v>
          </cell>
          <cell r="P25">
            <v>136.37</v>
          </cell>
          <cell r="Q25">
            <v>151.13399999999999</v>
          </cell>
          <cell r="R25">
            <v>128.52000000000001</v>
          </cell>
          <cell r="S25">
            <v>130.773</v>
          </cell>
          <cell r="T25">
            <v>134.75399999999999</v>
          </cell>
          <cell r="U25">
            <v>164.38499999999999</v>
          </cell>
          <cell r="V25">
            <v>134.86699999999999</v>
          </cell>
          <cell r="W25">
            <v>140.98500000000001</v>
          </cell>
          <cell r="X25">
            <v>146.667</v>
          </cell>
          <cell r="Y25">
            <v>178.83</v>
          </cell>
          <cell r="Z25">
            <v>151.77199999999999</v>
          </cell>
          <cell r="AA25">
            <v>168.82400000000001</v>
          </cell>
          <cell r="AB25">
            <v>170.83199999999999</v>
          </cell>
          <cell r="AC25">
            <v>195.88399999999999</v>
          </cell>
          <cell r="AD25">
            <v>166.60900000000001</v>
          </cell>
          <cell r="AE25">
            <v>157.036</v>
          </cell>
          <cell r="AF25">
            <v>162.559</v>
          </cell>
        </row>
        <row r="29">
          <cell r="B29">
            <v>111.91500000000001</v>
          </cell>
          <cell r="C29">
            <v>121.419</v>
          </cell>
          <cell r="D29">
            <v>138.35400000000001</v>
          </cell>
          <cell r="E29">
            <v>115.146</v>
          </cell>
          <cell r="F29">
            <v>115.59699999999999</v>
          </cell>
          <cell r="G29">
            <v>170.358</v>
          </cell>
          <cell r="H29">
            <v>142.77799999999999</v>
          </cell>
          <cell r="I29">
            <v>148.917</v>
          </cell>
          <cell r="J29">
            <v>73.394999999999996</v>
          </cell>
          <cell r="K29">
            <v>93.902000000000001</v>
          </cell>
          <cell r="L29">
            <v>113.143</v>
          </cell>
          <cell r="M29">
            <v>115.88200000000001</v>
          </cell>
          <cell r="N29">
            <v>143.047</v>
          </cell>
          <cell r="O29">
            <v>145.63999999999999</v>
          </cell>
          <cell r="P29">
            <v>253.20599999999999</v>
          </cell>
          <cell r="Q29">
            <v>156.05699999999999</v>
          </cell>
          <cell r="R29">
            <v>220.102</v>
          </cell>
          <cell r="S29">
            <v>218.97800000000001</v>
          </cell>
          <cell r="T29">
            <v>214.67400000000001</v>
          </cell>
          <cell r="U29">
            <v>196.827</v>
          </cell>
          <cell r="V29">
            <v>248.00299999999999</v>
          </cell>
          <cell r="W29">
            <v>208.93</v>
          </cell>
          <cell r="X29">
            <v>302.47899999999998</v>
          </cell>
          <cell r="Y29">
            <v>190.601</v>
          </cell>
          <cell r="Z29">
            <v>-895.02800000000002</v>
          </cell>
          <cell r="AA29">
            <v>-140.97</v>
          </cell>
          <cell r="AB29">
            <v>131.51499999999999</v>
          </cell>
          <cell r="AC29">
            <v>379.66800000000001</v>
          </cell>
          <cell r="AD29">
            <v>1277.4349999999999</v>
          </cell>
          <cell r="AE29">
            <v>825.75900000000001</v>
          </cell>
          <cell r="AF29">
            <v>850.43100000000004</v>
          </cell>
        </row>
        <row r="31">
          <cell r="B31">
            <v>12.307</v>
          </cell>
          <cell r="C31">
            <v>17.405999999999999</v>
          </cell>
          <cell r="D31">
            <v>19.285</v>
          </cell>
          <cell r="E31">
            <v>22.981999999999999</v>
          </cell>
          <cell r="F31">
            <v>36.25</v>
          </cell>
          <cell r="G31">
            <v>28.158999999999999</v>
          </cell>
          <cell r="H31">
            <v>33.472000000000001</v>
          </cell>
          <cell r="I31">
            <v>38.29</v>
          </cell>
          <cell r="J31">
            <v>60.988</v>
          </cell>
          <cell r="K31">
            <v>37.813000000000002</v>
          </cell>
          <cell r="L31">
            <v>35.219000000000001</v>
          </cell>
          <cell r="M31">
            <v>64.335999999999999</v>
          </cell>
          <cell r="N31">
            <v>42.176000000000002</v>
          </cell>
          <cell r="O31">
            <v>43.914999999999999</v>
          </cell>
          <cell r="P31">
            <v>15.574999999999999</v>
          </cell>
          <cell r="Q31">
            <v>38.438000000000002</v>
          </cell>
          <cell r="R31">
            <v>55.610999999999997</v>
          </cell>
          <cell r="S31">
            <v>36.709000000000003</v>
          </cell>
          <cell r="T31">
            <v>34.597999999999999</v>
          </cell>
          <cell r="U31">
            <v>44.381999999999998</v>
          </cell>
          <cell r="V31">
            <v>64.225999999999999</v>
          </cell>
          <cell r="W31">
            <v>76.509</v>
          </cell>
          <cell r="X31">
            <v>52.701000000000001</v>
          </cell>
          <cell r="Y31">
            <v>70.143000000000001</v>
          </cell>
          <cell r="Z31">
            <v>573.15800000000002</v>
          </cell>
          <cell r="AA31">
            <v>471.06599999999997</v>
          </cell>
          <cell r="AB31">
            <v>95.03</v>
          </cell>
          <cell r="AC31">
            <v>34.597999999999999</v>
          </cell>
          <cell r="AD31">
            <v>-93.438999999999993</v>
          </cell>
          <cell r="AE31">
            <v>-117.39700000000001</v>
          </cell>
          <cell r="AF31">
            <v>41.773000000000003</v>
          </cell>
        </row>
        <row r="36">
          <cell r="B36">
            <v>41729</v>
          </cell>
          <cell r="C36">
            <v>41820</v>
          </cell>
          <cell r="D36">
            <v>41912</v>
          </cell>
          <cell r="E36">
            <v>42004</v>
          </cell>
          <cell r="F36">
            <v>42094</v>
          </cell>
          <cell r="G36">
            <v>42185</v>
          </cell>
          <cell r="H36">
            <v>42277</v>
          </cell>
          <cell r="I36">
            <v>42369</v>
          </cell>
          <cell r="J36">
            <v>42460</v>
          </cell>
          <cell r="K36">
            <v>42551</v>
          </cell>
          <cell r="L36">
            <v>42643</v>
          </cell>
          <cell r="M36">
            <v>42735</v>
          </cell>
          <cell r="N36">
            <v>42825</v>
          </cell>
          <cell r="O36">
            <v>42916</v>
          </cell>
          <cell r="P36">
            <v>43008</v>
          </cell>
          <cell r="Q36">
            <v>43100</v>
          </cell>
          <cell r="R36">
            <v>43190</v>
          </cell>
          <cell r="S36">
            <v>43281</v>
          </cell>
          <cell r="T36">
            <v>43373</v>
          </cell>
          <cell r="U36">
            <v>43465</v>
          </cell>
          <cell r="V36">
            <v>43555</v>
          </cell>
          <cell r="W36">
            <v>43646</v>
          </cell>
          <cell r="X36">
            <v>43738</v>
          </cell>
          <cell r="Y36">
            <v>43830</v>
          </cell>
          <cell r="Z36">
            <v>43921</v>
          </cell>
          <cell r="AA36">
            <v>44012</v>
          </cell>
          <cell r="AB36">
            <v>44104</v>
          </cell>
          <cell r="AC36">
            <v>44196</v>
          </cell>
          <cell r="AD36">
            <v>44286</v>
          </cell>
          <cell r="AE36">
            <v>44377</v>
          </cell>
          <cell r="AF36">
            <v>44469</v>
          </cell>
        </row>
        <row r="38">
          <cell r="B38">
            <v>13884.108</v>
          </cell>
          <cell r="C38">
            <v>0</v>
          </cell>
          <cell r="D38">
            <v>0</v>
          </cell>
          <cell r="E38">
            <v>14842.669</v>
          </cell>
          <cell r="F38">
            <v>14991.56</v>
          </cell>
          <cell r="G38">
            <v>15350.022000000001</v>
          </cell>
          <cell r="H38">
            <v>15736.612999999999</v>
          </cell>
          <cell r="I38">
            <v>15991.971</v>
          </cell>
          <cell r="J38">
            <v>16049.573</v>
          </cell>
          <cell r="K38">
            <v>16454.441999999999</v>
          </cell>
          <cell r="L38">
            <v>16955.419000000002</v>
          </cell>
          <cell r="M38">
            <v>17202.385999999999</v>
          </cell>
          <cell r="N38">
            <v>17717.116999999998</v>
          </cell>
          <cell r="O38">
            <v>18347.935000000001</v>
          </cell>
          <cell r="P38">
            <v>18658.748</v>
          </cell>
          <cell r="Q38">
            <v>18978.616000000002</v>
          </cell>
          <cell r="R38">
            <v>19586.858</v>
          </cell>
          <cell r="S38">
            <v>19907.123</v>
          </cell>
          <cell r="T38">
            <v>20321.789000000001</v>
          </cell>
          <cell r="U38">
            <v>20622.219000000001</v>
          </cell>
          <cell r="V38">
            <v>21244.157999999999</v>
          </cell>
          <cell r="W38">
            <v>21647.174999999999</v>
          </cell>
          <cell r="X38">
            <v>21981.13</v>
          </cell>
          <cell r="Y38">
            <v>22400.504000000001</v>
          </cell>
          <cell r="Z38">
            <v>23024.638999999999</v>
          </cell>
          <cell r="AA38">
            <v>22974.313999999998</v>
          </cell>
          <cell r="AB38">
            <v>23232.75</v>
          </cell>
          <cell r="AC38">
            <v>23722.616000000002</v>
          </cell>
          <cell r="AD38">
            <v>22297.593000000001</v>
          </cell>
          <cell r="AE38">
            <v>18859.901000000002</v>
          </cell>
          <cell r="AF38">
            <v>18569.155999999999</v>
          </cell>
        </row>
        <row r="42">
          <cell r="B42">
            <v>0</v>
          </cell>
          <cell r="C42">
            <v>0</v>
          </cell>
          <cell r="D42">
            <v>0</v>
          </cell>
          <cell r="E42">
            <v>19569.956999999999</v>
          </cell>
          <cell r="F42">
            <v>19772.857</v>
          </cell>
          <cell r="G42">
            <v>20182.463</v>
          </cell>
          <cell r="H42">
            <v>20678.669999999998</v>
          </cell>
          <cell r="I42">
            <v>21129.017</v>
          </cell>
          <cell r="J42">
            <v>21499.553</v>
          </cell>
          <cell r="K42">
            <v>21982.982</v>
          </cell>
          <cell r="L42">
            <v>22665.416000000001</v>
          </cell>
          <cell r="M42">
            <v>22905.902999999998</v>
          </cell>
          <cell r="N42">
            <v>23406.302</v>
          </cell>
          <cell r="O42">
            <v>24123.322</v>
          </cell>
          <cell r="P42">
            <v>24848.699000000001</v>
          </cell>
          <cell r="Q42">
            <v>25316.764999999999</v>
          </cell>
          <cell r="R42">
            <v>25993.637999999999</v>
          </cell>
          <cell r="S42">
            <v>26626.48</v>
          </cell>
          <cell r="T42">
            <v>27276.080000000002</v>
          </cell>
          <cell r="U42">
            <v>27809.166000000001</v>
          </cell>
          <cell r="V42">
            <v>28801.025000000001</v>
          </cell>
          <cell r="W42">
            <v>29410.71</v>
          </cell>
          <cell r="X42">
            <v>29992.63</v>
          </cell>
          <cell r="Y42">
            <v>30656.454000000002</v>
          </cell>
          <cell r="Z42">
            <v>31365.687999999998</v>
          </cell>
          <cell r="AA42">
            <v>32027.855</v>
          </cell>
          <cell r="AB42">
            <v>32517.21</v>
          </cell>
          <cell r="AC42">
            <v>33153.358</v>
          </cell>
          <cell r="AD42">
            <v>39173.300000000003</v>
          </cell>
          <cell r="AE42">
            <v>35823.171000000002</v>
          </cell>
          <cell r="AF42">
            <v>35881.843999999997</v>
          </cell>
        </row>
        <row r="44">
          <cell r="B44">
            <v>0</v>
          </cell>
          <cell r="C44">
            <v>0</v>
          </cell>
          <cell r="D44">
            <v>0</v>
          </cell>
          <cell r="E44">
            <v>15179.907999999999</v>
          </cell>
          <cell r="F44">
            <v>15352.041999999999</v>
          </cell>
          <cell r="G44">
            <v>15661.317999999999</v>
          </cell>
          <cell r="H44">
            <v>16070.343000000001</v>
          </cell>
          <cell r="I44">
            <v>16349.897000000001</v>
          </cell>
          <cell r="J44">
            <v>16393.463</v>
          </cell>
          <cell r="K44">
            <v>16764.223000000002</v>
          </cell>
          <cell r="L44">
            <v>17294.415000000001</v>
          </cell>
          <cell r="M44">
            <v>17556.383999999998</v>
          </cell>
          <cell r="N44">
            <v>18095.508999999998</v>
          </cell>
          <cell r="O44">
            <v>18716.877</v>
          </cell>
          <cell r="P44">
            <v>19017.236000000001</v>
          </cell>
          <cell r="Q44">
            <v>19377.47</v>
          </cell>
          <cell r="R44">
            <v>20005.431</v>
          </cell>
          <cell r="S44">
            <v>20258.400000000001</v>
          </cell>
          <cell r="T44">
            <v>20714.341</v>
          </cell>
          <cell r="U44">
            <v>21049.963</v>
          </cell>
          <cell r="V44">
            <v>21697.581999999999</v>
          </cell>
          <cell r="W44">
            <v>22048.510999999999</v>
          </cell>
          <cell r="X44">
            <v>22421.460999999999</v>
          </cell>
          <cell r="Y44">
            <v>22900.694</v>
          </cell>
          <cell r="Z44">
            <v>23606.942999999999</v>
          </cell>
          <cell r="AA44">
            <v>23526.648000000001</v>
          </cell>
          <cell r="AB44">
            <v>23742.91</v>
          </cell>
          <cell r="AC44">
            <v>24250.559000000001</v>
          </cell>
          <cell r="AD44">
            <v>23299.502</v>
          </cell>
          <cell r="AE44">
            <v>19830.916000000001</v>
          </cell>
          <cell r="AF44">
            <v>19531.191999999999</v>
          </cell>
        </row>
      </sheetData>
      <sheetData sheetId="5"/>
      <sheetData sheetId="6"/>
      <sheetData sheetId="7"/>
      <sheetData sheetId="8"/>
      <sheetData sheetId="9"/>
      <sheetData sheetId="10">
        <row r="40">
          <cell r="B40">
            <v>25230.491000000002</v>
          </cell>
          <cell r="C40">
            <v>25666.733</v>
          </cell>
          <cell r="D40">
            <v>25710.95</v>
          </cell>
          <cell r="E40">
            <v>25759.995999999999</v>
          </cell>
          <cell r="F40">
            <v>26356.304</v>
          </cell>
          <cell r="G40">
            <v>26738.118999999999</v>
          </cell>
          <cell r="H40">
            <v>27072.964</v>
          </cell>
          <cell r="I40">
            <v>27118.312000000002</v>
          </cell>
          <cell r="J40">
            <v>27857.337</v>
          </cell>
          <cell r="K40">
            <v>28237.739000000001</v>
          </cell>
          <cell r="L40">
            <v>28721.964</v>
          </cell>
          <cell r="M40">
            <v>28460.383000000002</v>
          </cell>
          <cell r="N40">
            <v>29457.812000000002</v>
          </cell>
          <cell r="O40">
            <v>30337.589</v>
          </cell>
          <cell r="P40">
            <v>30939.878000000001</v>
          </cell>
          <cell r="Q40">
            <v>31393.518</v>
          </cell>
          <cell r="R40">
            <v>32367.087</v>
          </cell>
          <cell r="S40">
            <v>33008.637999999999</v>
          </cell>
          <cell r="T40">
            <v>33571.803</v>
          </cell>
          <cell r="U40">
            <v>33655.631999999998</v>
          </cell>
          <cell r="V40">
            <v>34997.796000000002</v>
          </cell>
          <cell r="W40">
            <v>35745.472000000002</v>
          </cell>
          <cell r="X40">
            <v>36165.260999999999</v>
          </cell>
          <cell r="Y40">
            <v>35893.222999999998</v>
          </cell>
          <cell r="Z40">
            <v>37079.78</v>
          </cell>
          <cell r="AA40">
            <v>37693.582999999999</v>
          </cell>
          <cell r="AB40">
            <v>38026.932000000001</v>
          </cell>
          <cell r="AC40">
            <v>38338.178999999996</v>
          </cell>
          <cell r="AD40">
            <v>39607.146000000001</v>
          </cell>
          <cell r="AE40">
            <v>40612.690999999999</v>
          </cell>
          <cell r="AF40">
            <v>41188.389000000003</v>
          </cell>
        </row>
      </sheetData>
      <sheetData sheetId="11"/>
      <sheetData sheetId="12">
        <row r="27">
          <cell r="B27">
            <v>-36.619999999999997</v>
          </cell>
          <cell r="C27">
            <v>20.402000000000001</v>
          </cell>
          <cell r="D27">
            <v>12.95</v>
          </cell>
          <cell r="E27">
            <v>-42.524999999999999</v>
          </cell>
          <cell r="F27">
            <v>-272.22399999999999</v>
          </cell>
          <cell r="G27">
            <v>16.783000000000001</v>
          </cell>
          <cell r="H27">
            <v>25.574000000000002</v>
          </cell>
          <cell r="I27">
            <v>2.9129999999999998</v>
          </cell>
          <cell r="J27">
            <v>-2.6880000000000002</v>
          </cell>
          <cell r="K27">
            <v>14.061999999999999</v>
          </cell>
          <cell r="L27">
            <v>-0.76600000000000001</v>
          </cell>
          <cell r="M27">
            <v>14.146000000000001</v>
          </cell>
          <cell r="N27">
            <v>-8.1530000000000005</v>
          </cell>
          <cell r="O27">
            <v>8.1969999999999992</v>
          </cell>
          <cell r="P27">
            <v>-2.9060000000000001</v>
          </cell>
          <cell r="Q27">
            <v>22.568999999999999</v>
          </cell>
          <cell r="R27">
            <v>3.0209999999999999</v>
          </cell>
          <cell r="S27">
            <v>6.298</v>
          </cell>
          <cell r="T27">
            <v>17.32</v>
          </cell>
          <cell r="U27">
            <v>48.89</v>
          </cell>
          <cell r="V27">
            <v>30.78</v>
          </cell>
          <cell r="W27">
            <v>2.1000000000000001E-2</v>
          </cell>
          <cell r="X27">
            <v>-7.6</v>
          </cell>
          <cell r="Y27">
            <v>-0.98399999999999999</v>
          </cell>
          <cell r="Z27">
            <v>96.138999999999996</v>
          </cell>
          <cell r="AA27">
            <v>41.898000000000003</v>
          </cell>
          <cell r="AB27">
            <v>-3.18</v>
          </cell>
          <cell r="AC27">
            <v>-32.718000000000004</v>
          </cell>
          <cell r="AD27">
            <v>12.643000000000001</v>
          </cell>
          <cell r="AE27">
            <v>-28.324000000000002</v>
          </cell>
          <cell r="AF27">
            <v>6.6159999999999997</v>
          </cell>
        </row>
        <row r="34">
          <cell r="B34">
            <v>22628.928</v>
          </cell>
          <cell r="C34">
            <v>22965.883999999998</v>
          </cell>
          <cell r="D34">
            <v>22921.135999999999</v>
          </cell>
          <cell r="E34">
            <v>22889.614000000001</v>
          </cell>
          <cell r="F34">
            <v>23352.045999999998</v>
          </cell>
          <cell r="G34">
            <v>23603.505000000001</v>
          </cell>
          <cell r="H34">
            <v>23746.371999999999</v>
          </cell>
          <cell r="I34">
            <v>23528.204000000002</v>
          </cell>
          <cell r="J34">
            <v>24129.223999999998</v>
          </cell>
          <cell r="K34">
            <v>24370.456999999999</v>
          </cell>
          <cell r="L34">
            <v>25074.797999999999</v>
          </cell>
          <cell r="M34">
            <v>24368.429</v>
          </cell>
          <cell r="N34">
            <v>25186.756000000001</v>
          </cell>
          <cell r="O34">
            <v>25976.436000000002</v>
          </cell>
          <cell r="P34">
            <v>26780.269</v>
          </cell>
          <cell r="Q34">
            <v>27054.198</v>
          </cell>
          <cell r="R34">
            <v>27880.136999999999</v>
          </cell>
          <cell r="S34">
            <v>28700.666000000001</v>
          </cell>
          <cell r="T34">
            <v>29111.131000000001</v>
          </cell>
          <cell r="U34">
            <v>29038.66</v>
          </cell>
          <cell r="V34">
            <v>30120.674999999999</v>
          </cell>
          <cell r="W34">
            <v>31019.613000000001</v>
          </cell>
          <cell r="X34">
            <v>31289.814999999999</v>
          </cell>
          <cell r="Y34">
            <v>30905.072</v>
          </cell>
          <cell r="Z34">
            <v>32116.218000000001</v>
          </cell>
          <cell r="AA34">
            <v>32956.561000000002</v>
          </cell>
          <cell r="AB34">
            <v>33133.872000000003</v>
          </cell>
          <cell r="AC34">
            <v>33935.872000000003</v>
          </cell>
          <cell r="AD34">
            <v>35042.440999999999</v>
          </cell>
          <cell r="AE34">
            <v>35908.620000000003</v>
          </cell>
          <cell r="AF34">
            <v>36257.974000000002</v>
          </cell>
        </row>
      </sheetData>
      <sheetData sheetId="13">
        <row r="20">
          <cell r="B20">
            <v>224.55099999999999</v>
          </cell>
          <cell r="C20">
            <v>231.983</v>
          </cell>
          <cell r="D20">
            <v>239.26300000000001</v>
          </cell>
          <cell r="E20">
            <v>240.649</v>
          </cell>
          <cell r="F20">
            <v>241.96600000000001</v>
          </cell>
          <cell r="G20">
            <v>256.35899999999998</v>
          </cell>
          <cell r="H20">
            <v>251.29300000000001</v>
          </cell>
          <cell r="I20">
            <v>254.32</v>
          </cell>
          <cell r="J20">
            <v>253.31399999999999</v>
          </cell>
          <cell r="K20">
            <v>244.31800000000001</v>
          </cell>
          <cell r="L20">
            <v>254.41300000000001</v>
          </cell>
          <cell r="M20">
            <v>263.00200000000001</v>
          </cell>
          <cell r="N20">
            <v>254.578</v>
          </cell>
          <cell r="O20">
            <v>260.32400000000001</v>
          </cell>
          <cell r="P20">
            <v>272.32100000000003</v>
          </cell>
          <cell r="Q20">
            <v>280.84899999999999</v>
          </cell>
          <cell r="R20">
            <v>285.98700000000002</v>
          </cell>
          <cell r="S20">
            <v>298.50200000000001</v>
          </cell>
          <cell r="T20">
            <v>303.31599999999997</v>
          </cell>
          <cell r="U20">
            <v>292.714</v>
          </cell>
          <cell r="V20">
            <v>295.91500000000002</v>
          </cell>
          <cell r="W20">
            <v>294.97699999999998</v>
          </cell>
          <cell r="X20">
            <v>306.87299999999999</v>
          </cell>
          <cell r="Y20">
            <v>293.56400000000002</v>
          </cell>
          <cell r="Z20">
            <v>286.04399999999998</v>
          </cell>
          <cell r="AA20">
            <v>318.33199999999999</v>
          </cell>
          <cell r="AB20">
            <v>332.55700000000002</v>
          </cell>
          <cell r="AC20">
            <v>343.80900000000003</v>
          </cell>
          <cell r="AD20">
            <v>323.96100000000001</v>
          </cell>
          <cell r="AE20">
            <v>336.37599999999998</v>
          </cell>
          <cell r="AF20">
            <v>341.02600000000001</v>
          </cell>
        </row>
        <row r="22">
          <cell r="B22">
            <v>189.38499999999999</v>
          </cell>
          <cell r="C22">
            <v>129.27199999999999</v>
          </cell>
          <cell r="D22">
            <v>144.89099999999999</v>
          </cell>
          <cell r="E22">
            <v>185.501</v>
          </cell>
          <cell r="F22">
            <v>444.13299999999998</v>
          </cell>
          <cell r="G22">
            <v>151.905</v>
          </cell>
          <cell r="H22">
            <v>142.226</v>
          </cell>
          <cell r="I22">
            <v>159.73400000000001</v>
          </cell>
          <cell r="J22">
            <v>161.61199999999999</v>
          </cell>
          <cell r="K22">
            <v>138.63200000000001</v>
          </cell>
          <cell r="L22">
            <v>163.964</v>
          </cell>
          <cell r="M22">
            <v>146.489</v>
          </cell>
          <cell r="N22">
            <v>164.68199999999999</v>
          </cell>
          <cell r="O22">
            <v>154.07300000000001</v>
          </cell>
          <cell r="P22">
            <v>178.828</v>
          </cell>
          <cell r="Q22">
            <v>157.155</v>
          </cell>
          <cell r="R22">
            <v>179.82300000000001</v>
          </cell>
          <cell r="S22">
            <v>187.666</v>
          </cell>
          <cell r="T22">
            <v>181.27600000000001</v>
          </cell>
          <cell r="U22">
            <v>134.523</v>
          </cell>
          <cell r="V22">
            <v>153.113</v>
          </cell>
          <cell r="W22">
            <v>183.73599999999999</v>
          </cell>
          <cell r="X22">
            <v>205.24299999999999</v>
          </cell>
          <cell r="Y22">
            <v>178.23500000000001</v>
          </cell>
          <cell r="Z22">
            <v>65.385999999999996</v>
          </cell>
          <cell r="AA22">
            <v>159.31299999999999</v>
          </cell>
          <cell r="AB22">
            <v>215.39500000000001</v>
          </cell>
          <cell r="AC22">
            <v>254.77799999999999</v>
          </cell>
          <cell r="AD22">
            <v>183.23</v>
          </cell>
          <cell r="AE22">
            <v>238.827</v>
          </cell>
          <cell r="AF22">
            <v>218.29599999999999</v>
          </cell>
        </row>
        <row r="28">
          <cell r="B28">
            <v>41729</v>
          </cell>
          <cell r="C28">
            <v>41820</v>
          </cell>
          <cell r="D28">
            <v>41912</v>
          </cell>
          <cell r="E28">
            <v>42004</v>
          </cell>
          <cell r="F28">
            <v>42094</v>
          </cell>
          <cell r="G28">
            <v>42185</v>
          </cell>
          <cell r="H28">
            <v>42277</v>
          </cell>
          <cell r="I28">
            <v>42369</v>
          </cell>
          <cell r="J28">
            <v>42460</v>
          </cell>
          <cell r="K28">
            <v>42551</v>
          </cell>
          <cell r="L28">
            <v>42643</v>
          </cell>
          <cell r="M28">
            <v>42735</v>
          </cell>
          <cell r="N28">
            <v>42825</v>
          </cell>
          <cell r="O28">
            <v>42916</v>
          </cell>
          <cell r="P28">
            <v>43008</v>
          </cell>
          <cell r="Q28">
            <v>43100</v>
          </cell>
          <cell r="R28">
            <v>43190</v>
          </cell>
          <cell r="S28">
            <v>43281</v>
          </cell>
          <cell r="T28">
            <v>43373</v>
          </cell>
          <cell r="U28">
            <v>43465</v>
          </cell>
          <cell r="V28">
            <v>43555</v>
          </cell>
          <cell r="W28">
            <v>43646</v>
          </cell>
          <cell r="X28">
            <v>43738</v>
          </cell>
          <cell r="Y28">
            <v>43830</v>
          </cell>
          <cell r="Z28">
            <v>43921</v>
          </cell>
          <cell r="AA28">
            <v>44012</v>
          </cell>
          <cell r="AB28">
            <v>44104</v>
          </cell>
          <cell r="AC28">
            <v>44196</v>
          </cell>
          <cell r="AD28">
            <v>44286</v>
          </cell>
          <cell r="AE28">
            <v>44377</v>
          </cell>
          <cell r="AF28">
            <v>44469</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2">
          <cell r="B32">
            <v>22930.048999999999</v>
          </cell>
          <cell r="C32">
            <v>23256.701000000001</v>
          </cell>
          <cell r="D32">
            <v>23220.55</v>
          </cell>
          <cell r="E32">
            <v>23070.188999999998</v>
          </cell>
          <cell r="F32">
            <v>23535.146000000001</v>
          </cell>
          <cell r="G32">
            <v>23747.599999999999</v>
          </cell>
          <cell r="H32">
            <v>23900.49</v>
          </cell>
          <cell r="I32">
            <v>23760.817999999999</v>
          </cell>
          <cell r="J32">
            <v>24377.615000000002</v>
          </cell>
          <cell r="K32">
            <v>24594.457999999999</v>
          </cell>
          <cell r="L32">
            <v>25428.603999999999</v>
          </cell>
          <cell r="M32">
            <v>24596.833999999999</v>
          </cell>
          <cell r="N32">
            <v>25422.023000000001</v>
          </cell>
          <cell r="O32">
            <v>26184.552</v>
          </cell>
          <cell r="P32">
            <v>27006.823</v>
          </cell>
          <cell r="Q32">
            <v>27272.957999999999</v>
          </cell>
          <cell r="R32">
            <v>28112.795999999998</v>
          </cell>
          <cell r="S32">
            <v>28906.581999999999</v>
          </cell>
          <cell r="T32">
            <v>29336.77</v>
          </cell>
          <cell r="U32">
            <v>29257.397000000001</v>
          </cell>
          <cell r="V32">
            <v>30352.385999999999</v>
          </cell>
          <cell r="W32">
            <v>31231.55</v>
          </cell>
          <cell r="X32">
            <v>31522.929</v>
          </cell>
          <cell r="Y32">
            <v>31149.228999999999</v>
          </cell>
          <cell r="Z32">
            <v>32377.339</v>
          </cell>
          <cell r="AA32">
            <v>33179.347999999998</v>
          </cell>
          <cell r="AB32">
            <v>33384.898000000001</v>
          </cell>
          <cell r="AC32">
            <v>34170.938999999998</v>
          </cell>
          <cell r="AD32">
            <v>35293.720999999998</v>
          </cell>
          <cell r="AE32">
            <v>36124.14</v>
          </cell>
          <cell r="AF32">
            <v>36487.131999999998</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8E04-2D87-4AAA-8B86-F7BC9832BF0A}">
  <dimension ref="A1:C72"/>
  <sheetViews>
    <sheetView topLeftCell="A52" zoomScaleNormal="100" workbookViewId="0">
      <selection activeCell="J61" activeCellId="1" sqref="B65 J61"/>
    </sheetView>
  </sheetViews>
  <sheetFormatPr defaultRowHeight="14.25" x14ac:dyDescent="0.45"/>
  <sheetData>
    <row r="1" spans="1:2" x14ac:dyDescent="0.45">
      <c r="A1" t="s">
        <v>41</v>
      </c>
      <c r="B1" t="s">
        <v>42</v>
      </c>
    </row>
    <row r="2" spans="1:2" x14ac:dyDescent="0.45">
      <c r="B2" t="s">
        <v>154</v>
      </c>
    </row>
    <row r="4" spans="1:2" x14ac:dyDescent="0.45">
      <c r="A4" t="s">
        <v>43</v>
      </c>
      <c r="B4" t="s">
        <v>44</v>
      </c>
    </row>
    <row r="5" spans="1:2" x14ac:dyDescent="0.45">
      <c r="B5" s="9" t="s">
        <v>45</v>
      </c>
    </row>
    <row r="6" spans="1:2" x14ac:dyDescent="0.45">
      <c r="B6" s="9" t="s">
        <v>46</v>
      </c>
    </row>
    <row r="7" spans="1:2" x14ac:dyDescent="0.45">
      <c r="B7" s="9" t="s">
        <v>47</v>
      </c>
    </row>
    <row r="8" spans="1:2" x14ac:dyDescent="0.45">
      <c r="B8" s="9" t="s">
        <v>51</v>
      </c>
    </row>
    <row r="9" spans="1:2" x14ac:dyDescent="0.45">
      <c r="B9" t="s">
        <v>48</v>
      </c>
    </row>
    <row r="10" spans="1:2" x14ac:dyDescent="0.45">
      <c r="B10" s="9" t="s">
        <v>49</v>
      </c>
    </row>
    <row r="11" spans="1:2" x14ac:dyDescent="0.45">
      <c r="B11" s="9" t="s">
        <v>50</v>
      </c>
    </row>
    <row r="13" spans="1:2" x14ac:dyDescent="0.45">
      <c r="A13" t="s">
        <v>52</v>
      </c>
      <c r="B13" t="s">
        <v>53</v>
      </c>
    </row>
    <row r="14" spans="1:2" x14ac:dyDescent="0.45">
      <c r="B14" s="9" t="s">
        <v>54</v>
      </c>
    </row>
    <row r="15" spans="1:2" x14ac:dyDescent="0.45">
      <c r="B15" s="10" t="s">
        <v>94</v>
      </c>
    </row>
    <row r="16" spans="1:2" x14ac:dyDescent="0.45">
      <c r="B16" s="9" t="s">
        <v>55</v>
      </c>
    </row>
    <row r="17" spans="2:3" x14ac:dyDescent="0.45">
      <c r="B17" s="21" t="s">
        <v>95</v>
      </c>
    </row>
    <row r="18" spans="2:3" x14ac:dyDescent="0.45">
      <c r="B18" s="9" t="s">
        <v>57</v>
      </c>
    </row>
    <row r="19" spans="2:3" x14ac:dyDescent="0.45">
      <c r="B19" s="10" t="s">
        <v>58</v>
      </c>
    </row>
    <row r="20" spans="2:3" x14ac:dyDescent="0.45">
      <c r="B20" s="10" t="s">
        <v>70</v>
      </c>
    </row>
    <row r="21" spans="2:3" x14ac:dyDescent="0.45">
      <c r="B21" s="1" t="s">
        <v>59</v>
      </c>
    </row>
    <row r="22" spans="2:3" x14ac:dyDescent="0.45">
      <c r="B22" s="9" t="s">
        <v>60</v>
      </c>
    </row>
    <row r="23" spans="2:3" x14ac:dyDescent="0.45">
      <c r="B23" s="10" t="s">
        <v>62</v>
      </c>
    </row>
    <row r="24" spans="2:3" x14ac:dyDescent="0.45">
      <c r="B24" s="10" t="s">
        <v>71</v>
      </c>
    </row>
    <row r="25" spans="2:3" x14ac:dyDescent="0.45">
      <c r="B25" s="10" t="s">
        <v>72</v>
      </c>
    </row>
    <row r="26" spans="2:3" x14ac:dyDescent="0.45">
      <c r="B26" s="11" t="s">
        <v>96</v>
      </c>
    </row>
    <row r="27" spans="2:3" x14ac:dyDescent="0.45">
      <c r="B27" s="10" t="s">
        <v>63</v>
      </c>
    </row>
    <row r="28" spans="2:3" x14ac:dyDescent="0.45">
      <c r="B28" s="12" t="s">
        <v>97</v>
      </c>
    </row>
    <row r="29" spans="2:3" x14ac:dyDescent="0.45">
      <c r="B29" s="9" t="s">
        <v>61</v>
      </c>
      <c r="C29" s="3"/>
    </row>
    <row r="30" spans="2:3" x14ac:dyDescent="0.45">
      <c r="B30" s="10" t="s">
        <v>98</v>
      </c>
    </row>
    <row r="31" spans="2:3" x14ac:dyDescent="0.45">
      <c r="B31" s="10" t="s">
        <v>64</v>
      </c>
    </row>
    <row r="32" spans="2:3" x14ac:dyDescent="0.45">
      <c r="B32" s="10" t="s">
        <v>65</v>
      </c>
    </row>
    <row r="33" spans="2:2" x14ac:dyDescent="0.45">
      <c r="B33" s="10" t="s">
        <v>127</v>
      </c>
    </row>
    <row r="34" spans="2:2" x14ac:dyDescent="0.45">
      <c r="B34" s="9" t="s">
        <v>67</v>
      </c>
    </row>
    <row r="35" spans="2:2" x14ac:dyDescent="0.45">
      <c r="B35" s="10" t="s">
        <v>128</v>
      </c>
    </row>
    <row r="36" spans="2:2" x14ac:dyDescent="0.45">
      <c r="B36" s="10" t="s">
        <v>66</v>
      </c>
    </row>
    <row r="37" spans="2:2" x14ac:dyDescent="0.45">
      <c r="B37" s="10" t="s">
        <v>129</v>
      </c>
    </row>
    <row r="38" spans="2:2" x14ac:dyDescent="0.45">
      <c r="B38" s="9" t="s">
        <v>99</v>
      </c>
    </row>
    <row r="39" spans="2:2" x14ac:dyDescent="0.45">
      <c r="B39" s="9" t="s">
        <v>100</v>
      </c>
    </row>
    <row r="40" spans="2:2" x14ac:dyDescent="0.45">
      <c r="B40" s="10" t="s">
        <v>101</v>
      </c>
    </row>
    <row r="41" spans="2:2" x14ac:dyDescent="0.45">
      <c r="B41" s="10" t="s">
        <v>102</v>
      </c>
    </row>
    <row r="42" spans="2:2" x14ac:dyDescent="0.45">
      <c r="B42" s="10" t="s">
        <v>155</v>
      </c>
    </row>
    <row r="43" spans="2:2" x14ac:dyDescent="0.45">
      <c r="B43" s="10" t="s">
        <v>130</v>
      </c>
    </row>
    <row r="44" spans="2:2" x14ac:dyDescent="0.45">
      <c r="B44" s="10" t="s">
        <v>131</v>
      </c>
    </row>
    <row r="45" spans="2:2" x14ac:dyDescent="0.45">
      <c r="B45" s="10" t="s">
        <v>103</v>
      </c>
    </row>
    <row r="46" spans="2:2" x14ac:dyDescent="0.45">
      <c r="B46" s="12" t="s">
        <v>104</v>
      </c>
    </row>
    <row r="47" spans="2:2" x14ac:dyDescent="0.45">
      <c r="B47" s="10" t="s">
        <v>105</v>
      </c>
    </row>
    <row r="48" spans="2:2" x14ac:dyDescent="0.45">
      <c r="B48" s="11" t="s">
        <v>106</v>
      </c>
    </row>
    <row r="49" spans="1:2" x14ac:dyDescent="0.45">
      <c r="B49" s="9" t="s">
        <v>145</v>
      </c>
    </row>
    <row r="50" spans="1:2" x14ac:dyDescent="0.45">
      <c r="B50" s="10" t="s">
        <v>146</v>
      </c>
    </row>
    <row r="51" spans="1:2" x14ac:dyDescent="0.45">
      <c r="B51" s="10" t="s">
        <v>147</v>
      </c>
    </row>
    <row r="52" spans="1:2" x14ac:dyDescent="0.45">
      <c r="B52" s="1" t="s">
        <v>68</v>
      </c>
    </row>
    <row r="53" spans="1:2" x14ac:dyDescent="0.45">
      <c r="B53" s="9" t="s">
        <v>107</v>
      </c>
    </row>
    <row r="54" spans="1:2" x14ac:dyDescent="0.45">
      <c r="B54" s="10" t="s">
        <v>132</v>
      </c>
    </row>
    <row r="55" spans="1:2" x14ac:dyDescent="0.45">
      <c r="B55" s="10" t="s">
        <v>108</v>
      </c>
    </row>
    <row r="56" spans="1:2" x14ac:dyDescent="0.45">
      <c r="B56" s="1" t="s">
        <v>69</v>
      </c>
    </row>
    <row r="57" spans="1:2" x14ac:dyDescent="0.45">
      <c r="B57" s="9" t="s">
        <v>109</v>
      </c>
    </row>
    <row r="58" spans="1:2" x14ac:dyDescent="0.45">
      <c r="B58" s="9" t="s">
        <v>110</v>
      </c>
    </row>
    <row r="59" spans="1:2" x14ac:dyDescent="0.45">
      <c r="B59" s="21" t="s">
        <v>112</v>
      </c>
    </row>
    <row r="60" spans="1:2" x14ac:dyDescent="0.45">
      <c r="B60" s="21" t="s">
        <v>133</v>
      </c>
    </row>
    <row r="61" spans="1:2" x14ac:dyDescent="0.45">
      <c r="B61" t="s">
        <v>113</v>
      </c>
    </row>
    <row r="62" spans="1:2" x14ac:dyDescent="0.45">
      <c r="B62" t="s">
        <v>111</v>
      </c>
    </row>
    <row r="64" spans="1:2" x14ac:dyDescent="0.45">
      <c r="A64" t="s">
        <v>80</v>
      </c>
      <c r="B64" s="1" t="s">
        <v>114</v>
      </c>
    </row>
    <row r="65" spans="2:2" x14ac:dyDescent="0.45">
      <c r="B65" s="9" t="s">
        <v>156</v>
      </c>
    </row>
    <row r="66" spans="2:2" x14ac:dyDescent="0.45">
      <c r="B66" s="1" t="s">
        <v>115</v>
      </c>
    </row>
    <row r="67" spans="2:2" x14ac:dyDescent="0.45">
      <c r="B67" s="9" t="s">
        <v>150</v>
      </c>
    </row>
    <row r="68" spans="2:2" x14ac:dyDescent="0.45">
      <c r="B68" s="1" t="s">
        <v>116</v>
      </c>
    </row>
    <row r="69" spans="2:2" x14ac:dyDescent="0.45">
      <c r="B69" s="1" t="s">
        <v>151</v>
      </c>
    </row>
    <row r="70" spans="2:2" x14ac:dyDescent="0.45">
      <c r="B70" s="9" t="s">
        <v>152</v>
      </c>
    </row>
    <row r="71" spans="2:2" x14ac:dyDescent="0.45">
      <c r="B71" s="9" t="s">
        <v>153</v>
      </c>
    </row>
    <row r="72" spans="2:2" x14ac:dyDescent="0.45">
      <c r="B72" s="1" t="s">
        <v>149</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98F2-3818-4F37-9D43-10244940372D}">
  <dimension ref="A3:AD65"/>
  <sheetViews>
    <sheetView workbookViewId="0"/>
  </sheetViews>
  <sheetFormatPr defaultRowHeight="14.25" x14ac:dyDescent="0.45"/>
  <cols>
    <col min="3" max="3" width="32.6640625" customWidth="1"/>
    <col min="8" max="8" width="12" bestFit="1" customWidth="1"/>
  </cols>
  <sheetData>
    <row r="3" spans="1:30" x14ac:dyDescent="0.45">
      <c r="A3" t="s">
        <v>28</v>
      </c>
    </row>
    <row r="4" spans="1:30" x14ac:dyDescent="0.45">
      <c r="A4" t="s">
        <v>117</v>
      </c>
      <c r="B4" t="s">
        <v>5</v>
      </c>
      <c r="C4" t="s">
        <v>6</v>
      </c>
      <c r="D4">
        <v>0</v>
      </c>
      <c r="E4">
        <v>0</v>
      </c>
      <c r="F4">
        <v>1</v>
      </c>
      <c r="G4">
        <v>2</v>
      </c>
      <c r="H4">
        <v>3</v>
      </c>
      <c r="I4">
        <v>4</v>
      </c>
      <c r="J4">
        <v>5</v>
      </c>
      <c r="K4">
        <v>6</v>
      </c>
      <c r="L4">
        <v>7</v>
      </c>
      <c r="M4">
        <v>8</v>
      </c>
      <c r="N4">
        <v>9</v>
      </c>
      <c r="O4">
        <v>10</v>
      </c>
      <c r="P4">
        <v>11</v>
      </c>
      <c r="Q4">
        <v>12</v>
      </c>
      <c r="R4">
        <v>13</v>
      </c>
      <c r="S4">
        <v>14</v>
      </c>
      <c r="T4">
        <v>15</v>
      </c>
      <c r="U4">
        <v>16</v>
      </c>
      <c r="V4">
        <v>17</v>
      </c>
      <c r="W4">
        <v>18</v>
      </c>
      <c r="X4">
        <v>19</v>
      </c>
      <c r="Y4">
        <v>20</v>
      </c>
      <c r="Z4">
        <v>21</v>
      </c>
      <c r="AA4">
        <v>22</v>
      </c>
      <c r="AB4">
        <v>23</v>
      </c>
      <c r="AC4">
        <v>24</v>
      </c>
      <c r="AD4">
        <v>25</v>
      </c>
    </row>
    <row r="5" spans="1:30" x14ac:dyDescent="0.45">
      <c r="B5">
        <v>0</v>
      </c>
      <c r="C5" t="s">
        <v>7</v>
      </c>
      <c r="D5" t="s">
        <v>8</v>
      </c>
      <c r="E5">
        <v>1</v>
      </c>
      <c r="F5">
        <v>0.83590540959748816</v>
      </c>
      <c r="G5">
        <v>0.63903051049739412</v>
      </c>
      <c r="H5">
        <v>0.45708072695693708</v>
      </c>
      <c r="I5">
        <v>0.31656963432160823</v>
      </c>
      <c r="J5">
        <v>0.21454683793508866</v>
      </c>
      <c r="K5">
        <v>0.1452723987509012</v>
      </c>
      <c r="L5">
        <v>9.8881147900716615E-2</v>
      </c>
      <c r="M5">
        <v>6.5937924321772146E-2</v>
      </c>
      <c r="N5">
        <v>4.4456774628091944E-2</v>
      </c>
      <c r="O5">
        <v>3.0594244590648134E-2</v>
      </c>
      <c r="P5">
        <v>2.1932727162901011E-2</v>
      </c>
      <c r="Q5">
        <v>1.6825529448909415E-2</v>
      </c>
      <c r="R5">
        <v>1.3392498199444658E-2</v>
      </c>
      <c r="S5">
        <v>1.0432675694043048E-2</v>
      </c>
      <c r="T5">
        <v>7.4639737211252832E-3</v>
      </c>
      <c r="U5">
        <v>4.9833769425172703E-3</v>
      </c>
      <c r="V5">
        <v>2.9933436964022508E-3</v>
      </c>
      <c r="W5">
        <v>1.4983317172697075E-3</v>
      </c>
      <c r="X5">
        <v>7.4958021639115469E-4</v>
      </c>
      <c r="Y5">
        <v>3.9988003199203925E-4</v>
      </c>
      <c r="Z5">
        <v>1.9996000799843427E-4</v>
      </c>
      <c r="AA5">
        <v>4.9995000499958309E-5</v>
      </c>
      <c r="AB5">
        <v>0</v>
      </c>
      <c r="AC5">
        <v>0</v>
      </c>
      <c r="AD5">
        <v>0</v>
      </c>
    </row>
    <row r="6" spans="1:30" x14ac:dyDescent="0.45">
      <c r="B6">
        <v>0</v>
      </c>
      <c r="C6">
        <v>0</v>
      </c>
      <c r="D6" t="s">
        <v>9</v>
      </c>
      <c r="E6">
        <v>1</v>
      </c>
      <c r="F6">
        <v>0.83673521561580355</v>
      </c>
      <c r="G6">
        <v>0.64085588849482078</v>
      </c>
      <c r="H6">
        <v>0.45982620247276873</v>
      </c>
      <c r="I6">
        <v>0.32002565702868396</v>
      </c>
      <c r="J6">
        <v>0.21851877728657804</v>
      </c>
      <c r="K6">
        <v>0.14959465036076203</v>
      </c>
      <c r="L6">
        <v>0.10343799431993844</v>
      </c>
      <c r="M6">
        <v>7.0661360542165763E-2</v>
      </c>
      <c r="N6">
        <v>4.9288838361753518E-2</v>
      </c>
      <c r="O6">
        <v>3.5496409421645891E-2</v>
      </c>
      <c r="P6">
        <v>2.625150769396406E-2</v>
      </c>
      <c r="Q6">
        <v>2.0150862605401054E-2</v>
      </c>
      <c r="R6">
        <v>1.6045388625511914E-2</v>
      </c>
      <c r="S6">
        <v>1.2503152024563868E-2</v>
      </c>
      <c r="T6">
        <v>8.9481633718525022E-3</v>
      </c>
      <c r="U6">
        <v>5.9760762748086171E-3</v>
      </c>
      <c r="V6">
        <v>3.5904188578681495E-3</v>
      </c>
      <c r="W6">
        <v>1.7975981668447716E-3</v>
      </c>
      <c r="X6">
        <v>8.9939557388618585E-4</v>
      </c>
      <c r="Y6">
        <v>4.7982725527928594E-4</v>
      </c>
      <c r="Z6">
        <v>2.3994241382052639E-4</v>
      </c>
      <c r="AA6">
        <v>5.9992800863828397E-5</v>
      </c>
      <c r="AB6">
        <v>0</v>
      </c>
      <c r="AC6">
        <v>0</v>
      </c>
      <c r="AD6">
        <v>0</v>
      </c>
    </row>
    <row r="7" spans="1:30" x14ac:dyDescent="0.45">
      <c r="C7" t="s">
        <v>27</v>
      </c>
      <c r="D7" t="str">
        <f>D5</f>
        <v>HO &lt;= 90% LTV</v>
      </c>
      <c r="F7">
        <f>E5-F5</f>
        <v>0.16409459040251184</v>
      </c>
      <c r="G7">
        <f t="shared" ref="G7:AD7" si="0">F5-G5</f>
        <v>0.19687489910009404</v>
      </c>
      <c r="H7">
        <f t="shared" si="0"/>
        <v>0.18194978354045704</v>
      </c>
      <c r="I7">
        <f t="shared" si="0"/>
        <v>0.14051109263532885</v>
      </c>
      <c r="J7">
        <f t="shared" si="0"/>
        <v>0.10202279638651957</v>
      </c>
      <c r="K7">
        <f t="shared" si="0"/>
        <v>6.9274439184187464E-2</v>
      </c>
      <c r="L7">
        <f t="shared" si="0"/>
        <v>4.6391250850184584E-2</v>
      </c>
      <c r="M7">
        <f t="shared" si="0"/>
        <v>3.2943223578944469E-2</v>
      </c>
      <c r="N7">
        <f t="shared" si="0"/>
        <v>2.1481149693680202E-2</v>
      </c>
      <c r="O7">
        <f t="shared" si="0"/>
        <v>1.386253003744381E-2</v>
      </c>
      <c r="P7">
        <f t="shared" si="0"/>
        <v>8.661517427747123E-3</v>
      </c>
      <c r="Q7">
        <f t="shared" si="0"/>
        <v>5.1071977139915958E-3</v>
      </c>
      <c r="R7">
        <f t="shared" si="0"/>
        <v>3.4330312494647575E-3</v>
      </c>
      <c r="S7">
        <f t="shared" si="0"/>
        <v>2.9598225054016103E-3</v>
      </c>
      <c r="T7">
        <f t="shared" si="0"/>
        <v>2.9687019729177644E-3</v>
      </c>
      <c r="U7">
        <f t="shared" si="0"/>
        <v>2.480596778608013E-3</v>
      </c>
      <c r="V7">
        <f t="shared" si="0"/>
        <v>1.9900332461150194E-3</v>
      </c>
      <c r="W7">
        <f t="shared" si="0"/>
        <v>1.4950119791325434E-3</v>
      </c>
      <c r="X7">
        <f t="shared" si="0"/>
        <v>7.487515008785528E-4</v>
      </c>
      <c r="Y7">
        <f t="shared" si="0"/>
        <v>3.4970018439911543E-4</v>
      </c>
      <c r="Z7">
        <f t="shared" si="0"/>
        <v>1.9992002399360498E-4</v>
      </c>
      <c r="AA7">
        <f t="shared" si="0"/>
        <v>1.4996500749847597E-4</v>
      </c>
      <c r="AB7">
        <f t="shared" si="0"/>
        <v>4.9995000499958309E-5</v>
      </c>
      <c r="AC7">
        <f t="shared" si="0"/>
        <v>0</v>
      </c>
      <c r="AD7">
        <f t="shared" si="0"/>
        <v>0</v>
      </c>
    </row>
    <row r="8" spans="1:30" x14ac:dyDescent="0.45">
      <c r="D8" t="str">
        <f>D6</f>
        <v>HO &gt; 90% LTV</v>
      </c>
      <c r="F8">
        <f>E6-F6</f>
        <v>0.16326478438419645</v>
      </c>
      <c r="G8">
        <f t="shared" ref="G8:AD8" si="1">F6-G6</f>
        <v>0.19587932712098277</v>
      </c>
      <c r="H8">
        <f t="shared" si="1"/>
        <v>0.18102968602205205</v>
      </c>
      <c r="I8">
        <f t="shared" si="1"/>
        <v>0.13980054544408477</v>
      </c>
      <c r="J8">
        <f t="shared" si="1"/>
        <v>0.10150687974210593</v>
      </c>
      <c r="K8">
        <f t="shared" si="1"/>
        <v>6.8924126925816009E-2</v>
      </c>
      <c r="L8">
        <f t="shared" si="1"/>
        <v>4.6156656040823585E-2</v>
      </c>
      <c r="M8">
        <f t="shared" si="1"/>
        <v>3.2776633777772679E-2</v>
      </c>
      <c r="N8">
        <f t="shared" si="1"/>
        <v>2.1372522180412246E-2</v>
      </c>
      <c r="O8">
        <f t="shared" si="1"/>
        <v>1.3792428940107626E-2</v>
      </c>
      <c r="P8">
        <f t="shared" si="1"/>
        <v>9.2449017276818313E-3</v>
      </c>
      <c r="Q8">
        <f t="shared" si="1"/>
        <v>6.1006450885630059E-3</v>
      </c>
      <c r="R8">
        <f t="shared" si="1"/>
        <v>4.1054739798891404E-3</v>
      </c>
      <c r="S8">
        <f t="shared" si="1"/>
        <v>3.5422366009480455E-3</v>
      </c>
      <c r="T8">
        <f t="shared" si="1"/>
        <v>3.5549886527113661E-3</v>
      </c>
      <c r="U8">
        <f t="shared" si="1"/>
        <v>2.9720870970438851E-3</v>
      </c>
      <c r="V8">
        <f t="shared" si="1"/>
        <v>2.3856574169404676E-3</v>
      </c>
      <c r="W8">
        <f t="shared" si="1"/>
        <v>1.7928206910233779E-3</v>
      </c>
      <c r="X8">
        <f t="shared" si="1"/>
        <v>8.9820259295858573E-4</v>
      </c>
      <c r="Y8">
        <f t="shared" si="1"/>
        <v>4.1956831860689991E-4</v>
      </c>
      <c r="Z8">
        <f t="shared" si="1"/>
        <v>2.3988484145875955E-4</v>
      </c>
      <c r="AA8">
        <f t="shared" si="1"/>
        <v>1.7994961295669798E-4</v>
      </c>
      <c r="AB8">
        <f t="shared" si="1"/>
        <v>5.9992800863828397E-5</v>
      </c>
      <c r="AC8">
        <f t="shared" si="1"/>
        <v>0</v>
      </c>
      <c r="AD8">
        <f t="shared" si="1"/>
        <v>0</v>
      </c>
    </row>
    <row r="10" spans="1:30" x14ac:dyDescent="0.45">
      <c r="A10" t="s">
        <v>29</v>
      </c>
      <c r="B10" t="s">
        <v>93</v>
      </c>
    </row>
    <row r="11" spans="1:30" x14ac:dyDescent="0.45">
      <c r="A11" t="s">
        <v>117</v>
      </c>
      <c r="C11" t="s">
        <v>11</v>
      </c>
      <c r="D11">
        <v>2010</v>
      </c>
      <c r="E11">
        <v>2011</v>
      </c>
      <c r="F11">
        <v>2012</v>
      </c>
      <c r="G11">
        <v>2013</v>
      </c>
      <c r="H11">
        <v>2014</v>
      </c>
      <c r="I11">
        <v>2015</v>
      </c>
      <c r="J11">
        <v>2016</v>
      </c>
      <c r="K11">
        <v>2017</v>
      </c>
      <c r="L11">
        <v>2018</v>
      </c>
      <c r="M11">
        <v>2019</v>
      </c>
      <c r="N11">
        <v>2020</v>
      </c>
      <c r="O11">
        <v>2021</v>
      </c>
      <c r="P11">
        <v>2022</v>
      </c>
      <c r="Q11">
        <v>2023</v>
      </c>
      <c r="R11">
        <v>2024</v>
      </c>
      <c r="S11">
        <v>2025</v>
      </c>
      <c r="T11">
        <v>2026</v>
      </c>
      <c r="U11">
        <v>2027</v>
      </c>
      <c r="V11">
        <v>2028</v>
      </c>
      <c r="W11">
        <v>2029</v>
      </c>
      <c r="X11">
        <v>2030</v>
      </c>
    </row>
    <row r="12" spans="1:30" x14ac:dyDescent="0.45">
      <c r="B12" t="s">
        <v>30</v>
      </c>
      <c r="C12" t="s">
        <v>0</v>
      </c>
      <c r="D12" s="19">
        <v>0.01</v>
      </c>
      <c r="E12" s="19">
        <v>0.01</v>
      </c>
      <c r="F12" s="19">
        <v>0.01</v>
      </c>
      <c r="G12" s="19">
        <v>0.01</v>
      </c>
      <c r="H12" s="20">
        <v>1.1678082191780821E-2</v>
      </c>
      <c r="I12" s="19">
        <v>1.2500000000000001E-2</v>
      </c>
      <c r="J12" s="19">
        <v>1.2500000000000001E-2</v>
      </c>
      <c r="K12" s="19">
        <v>2.1636986301369864E-2</v>
      </c>
      <c r="L12" s="19">
        <v>2.4E-2</v>
      </c>
      <c r="M12" s="19">
        <v>2.4E-2</v>
      </c>
      <c r="N12" s="19">
        <v>2.4E-2</v>
      </c>
      <c r="O12" s="19">
        <v>2.4E-2</v>
      </c>
      <c r="P12" s="19">
        <v>2.4E-2</v>
      </c>
      <c r="Q12" s="19">
        <v>2.4E-2</v>
      </c>
      <c r="R12" s="19">
        <v>2.4E-2</v>
      </c>
      <c r="S12" s="19">
        <v>2.4E-2</v>
      </c>
      <c r="T12" s="19">
        <v>2.4E-2</v>
      </c>
      <c r="U12" s="19">
        <v>2.4E-2</v>
      </c>
      <c r="V12" s="19">
        <v>2.4E-2</v>
      </c>
      <c r="W12" s="19">
        <v>2.4E-2</v>
      </c>
      <c r="X12" s="19">
        <v>2.4E-2</v>
      </c>
    </row>
    <row r="13" spans="1:30" x14ac:dyDescent="0.45">
      <c r="C13" t="s">
        <v>1</v>
      </c>
      <c r="D13" s="19">
        <v>1.7500000000000002E-2</v>
      </c>
      <c r="E13" s="19">
        <v>1.7500000000000002E-2</v>
      </c>
      <c r="F13" s="19">
        <v>1.7500000000000002E-2</v>
      </c>
      <c r="G13" s="19">
        <v>1.7500000000000002E-2</v>
      </c>
      <c r="H13" s="20">
        <v>1.7835616438356162E-2</v>
      </c>
      <c r="I13" s="19">
        <v>1.7999999999999999E-2</v>
      </c>
      <c r="J13" s="19">
        <v>1.7999999999999999E-2</v>
      </c>
      <c r="K13" s="19">
        <v>2.5945205479452053E-2</v>
      </c>
      <c r="L13" s="19">
        <v>2.8000000000000001E-2</v>
      </c>
      <c r="M13" s="19">
        <v>2.8000000000000001E-2</v>
      </c>
      <c r="N13" s="19">
        <v>2.8000000000000001E-2</v>
      </c>
      <c r="O13" s="19">
        <v>2.8000000000000001E-2</v>
      </c>
      <c r="P13" s="19">
        <v>2.8000000000000001E-2</v>
      </c>
      <c r="Q13" s="19">
        <v>2.8000000000000001E-2</v>
      </c>
      <c r="R13" s="19">
        <v>2.8000000000000001E-2</v>
      </c>
      <c r="S13" s="19">
        <v>2.8000000000000001E-2</v>
      </c>
      <c r="T13" s="19">
        <v>2.8000000000000001E-2</v>
      </c>
      <c r="U13" s="19">
        <v>2.8000000000000001E-2</v>
      </c>
      <c r="V13" s="19">
        <v>2.8000000000000001E-2</v>
      </c>
      <c r="W13" s="19">
        <v>2.8000000000000001E-2</v>
      </c>
      <c r="X13" s="19">
        <v>2.8000000000000001E-2</v>
      </c>
    </row>
    <row r="14" spans="1:30" x14ac:dyDescent="0.45">
      <c r="C14" t="s">
        <v>2</v>
      </c>
      <c r="D14" s="19">
        <v>0.02</v>
      </c>
      <c r="E14" s="19">
        <v>0.02</v>
      </c>
      <c r="F14" s="19">
        <v>0.02</v>
      </c>
      <c r="G14" s="19">
        <v>0.02</v>
      </c>
      <c r="H14" s="20">
        <v>2.2684931506849314E-2</v>
      </c>
      <c r="I14" s="19">
        <v>2.4E-2</v>
      </c>
      <c r="J14" s="19">
        <v>2.4E-2</v>
      </c>
      <c r="K14" s="19">
        <v>2.9561643835616436E-2</v>
      </c>
      <c r="L14" s="19">
        <v>3.1E-2</v>
      </c>
      <c r="M14" s="19">
        <v>3.1E-2</v>
      </c>
      <c r="N14" s="19">
        <v>3.1E-2</v>
      </c>
      <c r="O14" s="19">
        <v>3.1E-2</v>
      </c>
      <c r="P14" s="19">
        <v>3.1E-2</v>
      </c>
      <c r="Q14" s="19">
        <v>3.1E-2</v>
      </c>
      <c r="R14" s="19">
        <v>3.1E-2</v>
      </c>
      <c r="S14" s="19">
        <v>3.1E-2</v>
      </c>
      <c r="T14" s="19">
        <v>3.1E-2</v>
      </c>
      <c r="U14" s="19">
        <v>3.1E-2</v>
      </c>
      <c r="V14" s="19">
        <v>3.1E-2</v>
      </c>
      <c r="W14" s="19">
        <v>3.1E-2</v>
      </c>
      <c r="X14" s="19">
        <v>3.1E-2</v>
      </c>
    </row>
    <row r="15" spans="1:30" x14ac:dyDescent="0.45">
      <c r="C15" t="s">
        <v>3</v>
      </c>
      <c r="D15" s="19">
        <v>2.75E-2</v>
      </c>
      <c r="E15" s="19">
        <v>2.75E-2</v>
      </c>
      <c r="F15" s="19">
        <v>2.75E-2</v>
      </c>
      <c r="G15" s="19">
        <v>2.75E-2</v>
      </c>
      <c r="H15" s="20">
        <v>3.0184931506849318E-2</v>
      </c>
      <c r="I15" s="19">
        <v>3.4138356164383564E-2</v>
      </c>
      <c r="J15" s="19">
        <v>3.5999999999999997E-2</v>
      </c>
      <c r="K15" s="19">
        <v>3.9178082191780823E-2</v>
      </c>
      <c r="L15" s="19">
        <v>0.04</v>
      </c>
      <c r="M15" s="19">
        <v>0.04</v>
      </c>
      <c r="N15" s="19">
        <v>0.04</v>
      </c>
      <c r="O15" s="19">
        <v>0.04</v>
      </c>
      <c r="P15" s="19">
        <v>0.04</v>
      </c>
      <c r="Q15" s="19">
        <v>0.04</v>
      </c>
      <c r="R15" s="19">
        <v>0.04</v>
      </c>
      <c r="S15" s="19">
        <v>0.04</v>
      </c>
      <c r="T15" s="19">
        <v>0.04</v>
      </c>
      <c r="U15" s="19">
        <v>0.04</v>
      </c>
      <c r="V15" s="19">
        <v>0.04</v>
      </c>
      <c r="W15" s="19">
        <v>0.04</v>
      </c>
      <c r="X15" s="19">
        <v>0.04</v>
      </c>
    </row>
    <row r="17" spans="1:24" x14ac:dyDescent="0.45">
      <c r="A17" t="s">
        <v>31</v>
      </c>
    </row>
    <row r="18" spans="1:24" x14ac:dyDescent="0.45">
      <c r="A18" t="s">
        <v>117</v>
      </c>
      <c r="B18" t="s">
        <v>32</v>
      </c>
      <c r="C18" t="s">
        <v>11</v>
      </c>
      <c r="D18">
        <v>2010</v>
      </c>
      <c r="E18">
        <v>2011</v>
      </c>
      <c r="F18">
        <v>2012</v>
      </c>
      <c r="G18">
        <v>2013</v>
      </c>
      <c r="H18">
        <v>2014</v>
      </c>
      <c r="I18">
        <v>2015</v>
      </c>
      <c r="J18">
        <v>2016</v>
      </c>
      <c r="K18">
        <v>2017</v>
      </c>
      <c r="L18">
        <v>2018</v>
      </c>
      <c r="M18">
        <v>2019</v>
      </c>
      <c r="N18">
        <v>2020</v>
      </c>
      <c r="O18">
        <v>2021</v>
      </c>
      <c r="P18">
        <v>2022</v>
      </c>
      <c r="Q18">
        <v>2023</v>
      </c>
      <c r="R18">
        <v>2024</v>
      </c>
      <c r="S18">
        <v>2025</v>
      </c>
      <c r="T18">
        <v>2026</v>
      </c>
      <c r="U18">
        <v>2027</v>
      </c>
      <c r="V18">
        <v>2028</v>
      </c>
      <c r="W18">
        <v>2029</v>
      </c>
      <c r="X18">
        <v>2030</v>
      </c>
    </row>
    <row r="19" spans="1:24" x14ac:dyDescent="0.45">
      <c r="C19" t="s">
        <v>0</v>
      </c>
      <c r="E19">
        <v>9565</v>
      </c>
      <c r="F19">
        <v>10135</v>
      </c>
      <c r="G19">
        <v>12249</v>
      </c>
      <c r="H19">
        <v>10053</v>
      </c>
      <c r="I19">
        <v>6166</v>
      </c>
      <c r="J19">
        <v>5715</v>
      </c>
      <c r="K19">
        <v>4206</v>
      </c>
      <c r="L19">
        <v>3964</v>
      </c>
      <c r="M19">
        <v>2867</v>
      </c>
      <c r="N19">
        <v>2303</v>
      </c>
      <c r="O19">
        <v>2116</v>
      </c>
    </row>
    <row r="20" spans="1:24" x14ac:dyDescent="0.45">
      <c r="C20" t="s">
        <v>1</v>
      </c>
      <c r="E20">
        <v>10413</v>
      </c>
      <c r="F20">
        <v>9782</v>
      </c>
      <c r="G20">
        <v>8237</v>
      </c>
      <c r="H20">
        <v>8134</v>
      </c>
      <c r="I20">
        <v>7389</v>
      </c>
      <c r="J20">
        <v>7615</v>
      </c>
      <c r="K20">
        <v>6287</v>
      </c>
      <c r="L20">
        <v>6503</v>
      </c>
      <c r="M20">
        <v>6425</v>
      </c>
      <c r="N20">
        <v>6361</v>
      </c>
      <c r="O20">
        <v>3494</v>
      </c>
    </row>
    <row r="21" spans="1:24" x14ac:dyDescent="0.45">
      <c r="C21" t="s">
        <v>2</v>
      </c>
      <c r="E21">
        <v>52090</v>
      </c>
      <c r="F21">
        <v>48016</v>
      </c>
      <c r="G21">
        <v>44623</v>
      </c>
      <c r="H21">
        <v>40537</v>
      </c>
      <c r="I21">
        <v>38173</v>
      </c>
      <c r="J21">
        <v>38642</v>
      </c>
      <c r="K21">
        <v>31255</v>
      </c>
      <c r="L21">
        <v>28631</v>
      </c>
      <c r="M21">
        <v>28055</v>
      </c>
      <c r="N21">
        <v>26274</v>
      </c>
      <c r="O21">
        <v>15438</v>
      </c>
    </row>
    <row r="22" spans="1:24" x14ac:dyDescent="0.45">
      <c r="C22" t="s">
        <v>3</v>
      </c>
      <c r="E22">
        <v>175625</v>
      </c>
      <c r="F22">
        <v>170611</v>
      </c>
      <c r="G22">
        <v>154633</v>
      </c>
      <c r="H22">
        <v>145228</v>
      </c>
      <c r="I22">
        <v>132205</v>
      </c>
      <c r="J22">
        <v>126319</v>
      </c>
      <c r="K22">
        <v>96814</v>
      </c>
      <c r="L22">
        <v>89964</v>
      </c>
      <c r="M22">
        <v>86959</v>
      </c>
      <c r="N22">
        <v>78817</v>
      </c>
      <c r="O22">
        <v>46102</v>
      </c>
    </row>
    <row r="23" spans="1:24" x14ac:dyDescent="0.45">
      <c r="C23" t="s">
        <v>12</v>
      </c>
      <c r="E23">
        <v>247693</v>
      </c>
      <c r="F23">
        <v>238544</v>
      </c>
      <c r="G23">
        <v>219742</v>
      </c>
      <c r="H23">
        <v>203952</v>
      </c>
      <c r="I23">
        <v>183933</v>
      </c>
      <c r="J23">
        <v>178291</v>
      </c>
      <c r="K23">
        <v>138562</v>
      </c>
      <c r="L23">
        <v>129062</v>
      </c>
      <c r="M23">
        <v>124306</v>
      </c>
      <c r="N23">
        <v>113755</v>
      </c>
      <c r="O23">
        <v>67150</v>
      </c>
    </row>
    <row r="25" spans="1:24" x14ac:dyDescent="0.45">
      <c r="B25" t="s">
        <v>33</v>
      </c>
      <c r="C25" t="s">
        <v>11</v>
      </c>
      <c r="D25">
        <v>2010</v>
      </c>
      <c r="E25">
        <f>D25+1</f>
        <v>2011</v>
      </c>
      <c r="F25">
        <f t="shared" ref="F25:X25" si="2">E25+1</f>
        <v>2012</v>
      </c>
      <c r="G25">
        <f t="shared" si="2"/>
        <v>2013</v>
      </c>
      <c r="H25">
        <f t="shared" si="2"/>
        <v>2014</v>
      </c>
      <c r="I25">
        <f t="shared" si="2"/>
        <v>2015</v>
      </c>
      <c r="J25">
        <f t="shared" si="2"/>
        <v>2016</v>
      </c>
      <c r="K25">
        <f t="shared" si="2"/>
        <v>2017</v>
      </c>
      <c r="L25">
        <f t="shared" si="2"/>
        <v>2018</v>
      </c>
      <c r="M25">
        <f t="shared" si="2"/>
        <v>2019</v>
      </c>
      <c r="N25">
        <f t="shared" si="2"/>
        <v>2020</v>
      </c>
      <c r="O25">
        <f t="shared" si="2"/>
        <v>2021</v>
      </c>
      <c r="P25">
        <f t="shared" si="2"/>
        <v>2022</v>
      </c>
      <c r="Q25">
        <f t="shared" si="2"/>
        <v>2023</v>
      </c>
      <c r="R25">
        <f t="shared" si="2"/>
        <v>2024</v>
      </c>
      <c r="S25">
        <f t="shared" si="2"/>
        <v>2025</v>
      </c>
      <c r="T25">
        <f t="shared" si="2"/>
        <v>2026</v>
      </c>
      <c r="U25">
        <f t="shared" si="2"/>
        <v>2027</v>
      </c>
      <c r="V25">
        <f t="shared" si="2"/>
        <v>2028</v>
      </c>
      <c r="W25">
        <f t="shared" si="2"/>
        <v>2029</v>
      </c>
      <c r="X25">
        <f t="shared" si="2"/>
        <v>2030</v>
      </c>
    </row>
    <row r="26" spans="1:24" x14ac:dyDescent="0.45">
      <c r="C26" t="s">
        <v>0</v>
      </c>
      <c r="D26" s="5">
        <f>SUM(E19:I19)/SUM($E$23:$I$23)</f>
        <v>4.403472460927501E-2</v>
      </c>
      <c r="E26">
        <f t="shared" ref="E26" si="3">E19/E$23</f>
        <v>3.8616351693426941E-2</v>
      </c>
      <c r="F26">
        <f t="shared" ref="F26" si="4">F19/F$23</f>
        <v>4.2486920651955196E-2</v>
      </c>
      <c r="G26">
        <f t="shared" ref="G26" si="5">G19/G$23</f>
        <v>5.5742643645729992E-2</v>
      </c>
      <c r="H26">
        <f t="shared" ref="H26" si="6">H19/H$23</f>
        <v>4.9291009649329254E-2</v>
      </c>
      <c r="I26">
        <f t="shared" ref="I26" si="7">I19/I$23</f>
        <v>3.3523076337579442E-2</v>
      </c>
      <c r="J26">
        <f t="shared" ref="J26" si="8">J19/J$23</f>
        <v>3.2054338132603444E-2</v>
      </c>
      <c r="K26">
        <f t="shared" ref="K26" si="9">K19/K$23</f>
        <v>3.0354642687028189E-2</v>
      </c>
      <c r="L26">
        <f t="shared" ref="L26" si="10">L19/L$23</f>
        <v>3.071392044133827E-2</v>
      </c>
      <c r="M26">
        <f t="shared" ref="M26:O30" si="11">M19/M$23</f>
        <v>2.3064051614564058E-2</v>
      </c>
      <c r="N26">
        <f t="shared" si="11"/>
        <v>2.0245263944442003E-2</v>
      </c>
      <c r="O26">
        <f t="shared" si="11"/>
        <v>3.1511541325390913E-2</v>
      </c>
      <c r="P26" s="5">
        <f t="shared" ref="P26:X26" si="12">SUM($K19:$O19)/SUM($K$23:$O$23)</f>
        <v>2.6981591557778416E-2</v>
      </c>
      <c r="Q26" s="5">
        <f t="shared" si="12"/>
        <v>2.6981591557778416E-2</v>
      </c>
      <c r="R26" s="5">
        <f t="shared" si="12"/>
        <v>2.6981591557778416E-2</v>
      </c>
      <c r="S26" s="5">
        <f t="shared" si="12"/>
        <v>2.6981591557778416E-2</v>
      </c>
      <c r="T26" s="5">
        <f t="shared" si="12"/>
        <v>2.6981591557778416E-2</v>
      </c>
      <c r="U26" s="5">
        <f t="shared" si="12"/>
        <v>2.6981591557778416E-2</v>
      </c>
      <c r="V26" s="5">
        <f t="shared" si="12"/>
        <v>2.6981591557778416E-2</v>
      </c>
      <c r="W26" s="5">
        <f t="shared" si="12"/>
        <v>2.6981591557778416E-2</v>
      </c>
      <c r="X26" s="5">
        <f t="shared" si="12"/>
        <v>2.6981591557778416E-2</v>
      </c>
    </row>
    <row r="27" spans="1:24" x14ac:dyDescent="0.45">
      <c r="C27" t="s">
        <v>1</v>
      </c>
      <c r="D27" s="5">
        <f>SUM(E20:I20)/SUM($E$23:$I$23)</f>
        <v>4.0183240329693636E-2</v>
      </c>
      <c r="E27">
        <f t="shared" ref="E27" si="13">E20/E$23</f>
        <v>4.2039944608850473E-2</v>
      </c>
      <c r="F27">
        <f t="shared" ref="F27" si="14">F20/F$23</f>
        <v>4.1007109799449999E-2</v>
      </c>
      <c r="G27">
        <f t="shared" ref="G27" si="15">G20/G$23</f>
        <v>3.7484868618652786E-2</v>
      </c>
      <c r="H27">
        <f t="shared" ref="H27" si="16">H20/H$23</f>
        <v>3.9881933003844044E-2</v>
      </c>
      <c r="I27">
        <f t="shared" ref="I27" si="17">I20/I$23</f>
        <v>4.0172236629642318E-2</v>
      </c>
      <c r="J27">
        <f t="shared" ref="J27" si="18">J20/J$23</f>
        <v>4.2711073469776935E-2</v>
      </c>
      <c r="K27">
        <f t="shared" ref="K27" si="19">K20/K$23</f>
        <v>4.5373190340786074E-2</v>
      </c>
      <c r="L27">
        <f t="shared" ref="L27" si="20">L20/L$23</f>
        <v>5.0386635880429562E-2</v>
      </c>
      <c r="M27">
        <f t="shared" si="11"/>
        <v>5.1686966035428702E-2</v>
      </c>
      <c r="N27">
        <f t="shared" si="11"/>
        <v>5.5918421168300293E-2</v>
      </c>
      <c r="O27">
        <f t="shared" si="11"/>
        <v>5.2032762472077436E-2</v>
      </c>
      <c r="P27" s="5">
        <f t="shared" ref="P27:X27" si="21">SUM($K20:$O20)/SUM($K$23:$O$23)</f>
        <v>5.0747597475712905E-2</v>
      </c>
      <c r="Q27" s="5">
        <f t="shared" si="21"/>
        <v>5.0747597475712905E-2</v>
      </c>
      <c r="R27" s="5">
        <f t="shared" si="21"/>
        <v>5.0747597475712905E-2</v>
      </c>
      <c r="S27" s="5">
        <f t="shared" si="21"/>
        <v>5.0747597475712905E-2</v>
      </c>
      <c r="T27" s="5">
        <f t="shared" si="21"/>
        <v>5.0747597475712905E-2</v>
      </c>
      <c r="U27" s="5">
        <f t="shared" si="21"/>
        <v>5.0747597475712905E-2</v>
      </c>
      <c r="V27" s="5">
        <f t="shared" si="21"/>
        <v>5.0747597475712905E-2</v>
      </c>
      <c r="W27" s="5">
        <f t="shared" si="21"/>
        <v>5.0747597475712905E-2</v>
      </c>
      <c r="X27" s="5">
        <f t="shared" si="21"/>
        <v>5.0747597475712905E-2</v>
      </c>
    </row>
    <row r="28" spans="1:24" x14ac:dyDescent="0.45">
      <c r="C28" t="s">
        <v>2</v>
      </c>
      <c r="D28" s="5">
        <f>SUM(E21:I21)/SUM($E$23:$I$23)</f>
        <v>0.20426579538224129</v>
      </c>
      <c r="E28">
        <f t="shared" ref="E28:O28" si="22">E21/E$23</f>
        <v>0.21030065443916462</v>
      </c>
      <c r="F28">
        <f t="shared" si="22"/>
        <v>0.20128781273056542</v>
      </c>
      <c r="G28">
        <f t="shared" si="22"/>
        <v>0.20306996386671641</v>
      </c>
      <c r="H28">
        <f t="shared" si="22"/>
        <v>0.19875755079626578</v>
      </c>
      <c r="I28">
        <f t="shared" si="22"/>
        <v>0.20753752725177102</v>
      </c>
      <c r="J28">
        <f t="shared" si="22"/>
        <v>0.21673556152582016</v>
      </c>
      <c r="K28">
        <f t="shared" si="22"/>
        <v>0.22556689424228865</v>
      </c>
      <c r="L28">
        <f t="shared" si="22"/>
        <v>0.22183911608374271</v>
      </c>
      <c r="M28">
        <f t="shared" si="22"/>
        <v>0.22569304780139335</v>
      </c>
      <c r="N28">
        <f t="shared" si="22"/>
        <v>0.23097006724979122</v>
      </c>
      <c r="O28">
        <f t="shared" si="22"/>
        <v>0.22990320178704393</v>
      </c>
      <c r="P28" s="5">
        <f t="shared" ref="P28:X28" si="23">SUM($K21:$O21)/SUM($K$23:$O$23)</f>
        <v>0.22633568130438958</v>
      </c>
      <c r="Q28" s="5">
        <f t="shared" si="23"/>
        <v>0.22633568130438958</v>
      </c>
      <c r="R28" s="5">
        <f t="shared" si="23"/>
        <v>0.22633568130438958</v>
      </c>
      <c r="S28" s="5">
        <f t="shared" si="23"/>
        <v>0.22633568130438958</v>
      </c>
      <c r="T28" s="5">
        <f t="shared" si="23"/>
        <v>0.22633568130438958</v>
      </c>
      <c r="U28" s="5">
        <f t="shared" si="23"/>
        <v>0.22633568130438958</v>
      </c>
      <c r="V28" s="5">
        <f t="shared" si="23"/>
        <v>0.22633568130438958</v>
      </c>
      <c r="W28" s="5">
        <f t="shared" si="23"/>
        <v>0.22633568130438958</v>
      </c>
      <c r="X28" s="5">
        <f t="shared" si="23"/>
        <v>0.22633568130438958</v>
      </c>
    </row>
    <row r="29" spans="1:24" x14ac:dyDescent="0.45">
      <c r="C29" t="s">
        <v>3</v>
      </c>
      <c r="D29" s="5">
        <f>SUM(E22:I22)/SUM($E$23:$I$23)</f>
        <v>0.71151623967879007</v>
      </c>
      <c r="E29">
        <f t="shared" ref="E29" si="24">E22/E$23</f>
        <v>0.70904304925855799</v>
      </c>
      <c r="F29">
        <f t="shared" ref="F29" si="25">F22/F$23</f>
        <v>0.71521815681802936</v>
      </c>
      <c r="G29">
        <f t="shared" ref="G29" si="26">G22/G$23</f>
        <v>0.70370252386890075</v>
      </c>
      <c r="H29">
        <f t="shared" ref="H29" si="27">H22/H$23</f>
        <v>0.71206950655056089</v>
      </c>
      <c r="I29">
        <f t="shared" ref="I29" si="28">I22/I$23</f>
        <v>0.71876715978100725</v>
      </c>
      <c r="J29">
        <f t="shared" ref="J29" si="29">J22/J$23</f>
        <v>0.70849902687179944</v>
      </c>
      <c r="K29">
        <f t="shared" ref="K29" si="30">K22/K$23</f>
        <v>0.69870527272989713</v>
      </c>
      <c r="L29">
        <f t="shared" ref="L29" si="31">L22/L$23</f>
        <v>0.69706032759448944</v>
      </c>
      <c r="M29">
        <f t="shared" si="11"/>
        <v>0.69955593454861387</v>
      </c>
      <c r="N29">
        <f t="shared" si="11"/>
        <v>0.69286624763746651</v>
      </c>
      <c r="O29">
        <f t="shared" si="11"/>
        <v>0.68655249441548771</v>
      </c>
      <c r="P29" s="5">
        <f t="shared" ref="P29:X29" si="32">SUM($K22:$O22)/SUM($K$23:$O$23)</f>
        <v>0.69593512966211912</v>
      </c>
      <c r="Q29" s="5">
        <f t="shared" si="32"/>
        <v>0.69593512966211912</v>
      </c>
      <c r="R29" s="5">
        <f t="shared" si="32"/>
        <v>0.69593512966211912</v>
      </c>
      <c r="S29" s="5">
        <f t="shared" si="32"/>
        <v>0.69593512966211912</v>
      </c>
      <c r="T29" s="5">
        <f t="shared" si="32"/>
        <v>0.69593512966211912</v>
      </c>
      <c r="U29" s="5">
        <f t="shared" si="32"/>
        <v>0.69593512966211912</v>
      </c>
      <c r="V29" s="5">
        <f t="shared" si="32"/>
        <v>0.69593512966211912</v>
      </c>
      <c r="W29" s="5">
        <f t="shared" si="32"/>
        <v>0.69593512966211912</v>
      </c>
      <c r="X29" s="5">
        <f t="shared" si="32"/>
        <v>0.69593512966211912</v>
      </c>
    </row>
    <row r="30" spans="1:24" x14ac:dyDescent="0.45">
      <c r="C30" t="s">
        <v>12</v>
      </c>
      <c r="D30" s="5">
        <f>SUM(E23:I23)/SUM($E$23:$I$23)</f>
        <v>1</v>
      </c>
      <c r="E30" s="5">
        <f t="shared" ref="E30:K30" si="33">SUM($M23:$O23)/SUM($M$23:$O$23)</f>
        <v>1</v>
      </c>
      <c r="F30" s="5">
        <f t="shared" si="33"/>
        <v>1</v>
      </c>
      <c r="G30" s="5">
        <f t="shared" si="33"/>
        <v>1</v>
      </c>
      <c r="H30" s="5">
        <f t="shared" si="33"/>
        <v>1</v>
      </c>
      <c r="I30" s="5">
        <f t="shared" si="33"/>
        <v>1</v>
      </c>
      <c r="J30" s="5">
        <f t="shared" si="33"/>
        <v>1</v>
      </c>
      <c r="K30" s="5">
        <f t="shared" si="33"/>
        <v>1</v>
      </c>
      <c r="L30" s="5">
        <f>SUM($M23:$O23)/SUM($M$23:$O$23)</f>
        <v>1</v>
      </c>
      <c r="M30">
        <f t="shared" si="11"/>
        <v>1</v>
      </c>
      <c r="N30">
        <f t="shared" si="11"/>
        <v>1</v>
      </c>
      <c r="O30">
        <f t="shared" si="11"/>
        <v>1</v>
      </c>
      <c r="P30" s="5">
        <f>SUM($M23:$O23)/SUM($M$23:$O$23)</f>
        <v>1</v>
      </c>
      <c r="Q30" s="5">
        <f t="shared" ref="Q30:X30" si="34">SUM($M23:$O23)/SUM($M$23:$O$23)</f>
        <v>1</v>
      </c>
      <c r="R30" s="5">
        <f t="shared" si="34"/>
        <v>1</v>
      </c>
      <c r="S30" s="5">
        <f t="shared" si="34"/>
        <v>1</v>
      </c>
      <c r="T30" s="5">
        <f t="shared" si="34"/>
        <v>1</v>
      </c>
      <c r="U30" s="5">
        <f t="shared" si="34"/>
        <v>1</v>
      </c>
      <c r="V30" s="5">
        <f t="shared" si="34"/>
        <v>1</v>
      </c>
      <c r="W30" s="5">
        <f t="shared" si="34"/>
        <v>1</v>
      </c>
      <c r="X30" s="5">
        <f t="shared" si="34"/>
        <v>1</v>
      </c>
    </row>
    <row r="32" spans="1:24" x14ac:dyDescent="0.45">
      <c r="A32" t="s">
        <v>34</v>
      </c>
      <c r="C32" t="s">
        <v>11</v>
      </c>
      <c r="D32">
        <v>2010</v>
      </c>
      <c r="E32">
        <f>D32+1</f>
        <v>2011</v>
      </c>
      <c r="F32">
        <f t="shared" ref="F32:X32" si="35">E32+1</f>
        <v>2012</v>
      </c>
      <c r="G32">
        <f t="shared" si="35"/>
        <v>2013</v>
      </c>
      <c r="H32">
        <f t="shared" si="35"/>
        <v>2014</v>
      </c>
      <c r="I32">
        <f t="shared" si="35"/>
        <v>2015</v>
      </c>
      <c r="J32">
        <f t="shared" si="35"/>
        <v>2016</v>
      </c>
      <c r="K32">
        <f t="shared" si="35"/>
        <v>2017</v>
      </c>
      <c r="L32">
        <f t="shared" si="35"/>
        <v>2018</v>
      </c>
      <c r="M32">
        <f t="shared" si="35"/>
        <v>2019</v>
      </c>
      <c r="N32">
        <f t="shared" si="35"/>
        <v>2020</v>
      </c>
      <c r="O32">
        <f t="shared" si="35"/>
        <v>2021</v>
      </c>
      <c r="P32">
        <f t="shared" si="35"/>
        <v>2022</v>
      </c>
      <c r="Q32">
        <f t="shared" si="35"/>
        <v>2023</v>
      </c>
      <c r="R32">
        <f t="shared" si="35"/>
        <v>2024</v>
      </c>
      <c r="S32">
        <f t="shared" si="35"/>
        <v>2025</v>
      </c>
      <c r="T32">
        <f t="shared" si="35"/>
        <v>2026</v>
      </c>
      <c r="U32">
        <f t="shared" si="35"/>
        <v>2027</v>
      </c>
      <c r="V32">
        <f t="shared" si="35"/>
        <v>2028</v>
      </c>
      <c r="W32">
        <f t="shared" si="35"/>
        <v>2029</v>
      </c>
      <c r="X32">
        <f t="shared" si="35"/>
        <v>2030</v>
      </c>
    </row>
    <row r="33" spans="1:24" x14ac:dyDescent="0.45">
      <c r="C33" t="s">
        <v>0</v>
      </c>
      <c r="D33">
        <f t="shared" ref="D33:X33" si="36">D12*D26</f>
        <v>4.4034724609275013E-4</v>
      </c>
      <c r="E33">
        <f t="shared" si="36"/>
        <v>3.8616351693426939E-4</v>
      </c>
      <c r="F33">
        <f t="shared" si="36"/>
        <v>4.2486920651955198E-4</v>
      </c>
      <c r="G33">
        <f t="shared" si="36"/>
        <v>5.5742643645729996E-4</v>
      </c>
      <c r="H33">
        <f t="shared" si="36"/>
        <v>5.7562446200072864E-4</v>
      </c>
      <c r="I33">
        <f t="shared" si="36"/>
        <v>4.1903845421974303E-4</v>
      </c>
      <c r="J33">
        <f t="shared" si="36"/>
        <v>4.0067922665754308E-4</v>
      </c>
      <c r="K33">
        <f t="shared" si="36"/>
        <v>6.5678298800220583E-4</v>
      </c>
      <c r="L33">
        <f t="shared" si="36"/>
        <v>7.3713409059211852E-4</v>
      </c>
      <c r="M33">
        <f t="shared" si="36"/>
        <v>5.5353723874953739E-4</v>
      </c>
      <c r="N33">
        <f t="shared" si="36"/>
        <v>4.8588633466660811E-4</v>
      </c>
      <c r="O33">
        <f t="shared" si="36"/>
        <v>7.5627699180938197E-4</v>
      </c>
      <c r="P33">
        <f t="shared" si="36"/>
        <v>6.4755819738668199E-4</v>
      </c>
      <c r="Q33">
        <f t="shared" si="36"/>
        <v>6.4755819738668199E-4</v>
      </c>
      <c r="R33">
        <f t="shared" si="36"/>
        <v>6.4755819738668199E-4</v>
      </c>
      <c r="S33">
        <f t="shared" si="36"/>
        <v>6.4755819738668199E-4</v>
      </c>
      <c r="T33">
        <f t="shared" si="36"/>
        <v>6.4755819738668199E-4</v>
      </c>
      <c r="U33">
        <f t="shared" si="36"/>
        <v>6.4755819738668199E-4</v>
      </c>
      <c r="V33">
        <f t="shared" si="36"/>
        <v>6.4755819738668199E-4</v>
      </c>
      <c r="W33">
        <f t="shared" si="36"/>
        <v>6.4755819738668199E-4</v>
      </c>
      <c r="X33">
        <f t="shared" si="36"/>
        <v>6.4755819738668199E-4</v>
      </c>
    </row>
    <row r="34" spans="1:24" x14ac:dyDescent="0.45">
      <c r="C34" t="s">
        <v>1</v>
      </c>
      <c r="D34">
        <f t="shared" ref="D34:X34" si="37">D13*D27</f>
        <v>7.0320670576963864E-4</v>
      </c>
      <c r="E34">
        <f t="shared" si="37"/>
        <v>7.3569903065488339E-4</v>
      </c>
      <c r="F34">
        <f t="shared" si="37"/>
        <v>7.1762442149037509E-4</v>
      </c>
      <c r="G34">
        <f t="shared" si="37"/>
        <v>6.5598520082642384E-4</v>
      </c>
      <c r="H34">
        <f t="shared" si="37"/>
        <v>7.1131885987677998E-4</v>
      </c>
      <c r="I34">
        <f t="shared" si="37"/>
        <v>7.2310025933356164E-4</v>
      </c>
      <c r="J34">
        <f t="shared" si="37"/>
        <v>7.6879932245598479E-4</v>
      </c>
      <c r="K34">
        <f t="shared" si="37"/>
        <v>1.1772167466499838E-3</v>
      </c>
      <c r="L34">
        <f t="shared" si="37"/>
        <v>1.4108258046520278E-3</v>
      </c>
      <c r="M34">
        <f t="shared" si="37"/>
        <v>1.4472350489920037E-3</v>
      </c>
      <c r="N34">
        <f t="shared" si="37"/>
        <v>1.5657157927124082E-3</v>
      </c>
      <c r="O34">
        <f t="shared" si="37"/>
        <v>1.4569173492181683E-3</v>
      </c>
      <c r="P34">
        <f t="shared" si="37"/>
        <v>1.4209327293199614E-3</v>
      </c>
      <c r="Q34">
        <f t="shared" si="37"/>
        <v>1.4209327293199614E-3</v>
      </c>
      <c r="R34">
        <f t="shared" si="37"/>
        <v>1.4209327293199614E-3</v>
      </c>
      <c r="S34">
        <f t="shared" si="37"/>
        <v>1.4209327293199614E-3</v>
      </c>
      <c r="T34">
        <f t="shared" si="37"/>
        <v>1.4209327293199614E-3</v>
      </c>
      <c r="U34">
        <f t="shared" si="37"/>
        <v>1.4209327293199614E-3</v>
      </c>
      <c r="V34">
        <f t="shared" si="37"/>
        <v>1.4209327293199614E-3</v>
      </c>
      <c r="W34">
        <f t="shared" si="37"/>
        <v>1.4209327293199614E-3</v>
      </c>
      <c r="X34">
        <f t="shared" si="37"/>
        <v>1.4209327293199614E-3</v>
      </c>
    </row>
    <row r="35" spans="1:24" x14ac:dyDescent="0.45">
      <c r="C35" t="s">
        <v>2</v>
      </c>
      <c r="D35">
        <f t="shared" ref="D35:X35" si="38">D14*D28</f>
        <v>4.0853159076448256E-3</v>
      </c>
      <c r="E35">
        <f t="shared" si="38"/>
        <v>4.206013088783293E-3</v>
      </c>
      <c r="F35">
        <f t="shared" si="38"/>
        <v>4.0257562546113087E-3</v>
      </c>
      <c r="G35">
        <f t="shared" si="38"/>
        <v>4.0613992773343285E-3</v>
      </c>
      <c r="H35">
        <f t="shared" si="38"/>
        <v>4.5088014262824128E-3</v>
      </c>
      <c r="I35">
        <f t="shared" si="38"/>
        <v>4.980900654042505E-3</v>
      </c>
      <c r="J35">
        <f t="shared" si="38"/>
        <v>5.2016534766196835E-3</v>
      </c>
      <c r="K35">
        <f t="shared" si="38"/>
        <v>6.6681281886966969E-3</v>
      </c>
      <c r="L35">
        <f t="shared" si="38"/>
        <v>6.8770125985960244E-3</v>
      </c>
      <c r="M35">
        <f t="shared" si="38"/>
        <v>6.9964844818431937E-3</v>
      </c>
      <c r="N35">
        <f t="shared" si="38"/>
        <v>7.1600720847435273E-3</v>
      </c>
      <c r="O35">
        <f t="shared" si="38"/>
        <v>7.1269992553983615E-3</v>
      </c>
      <c r="P35">
        <f t="shared" si="38"/>
        <v>7.0164061204360771E-3</v>
      </c>
      <c r="Q35">
        <f t="shared" si="38"/>
        <v>7.0164061204360771E-3</v>
      </c>
      <c r="R35">
        <f t="shared" si="38"/>
        <v>7.0164061204360771E-3</v>
      </c>
      <c r="S35">
        <f t="shared" si="38"/>
        <v>7.0164061204360771E-3</v>
      </c>
      <c r="T35">
        <f t="shared" si="38"/>
        <v>7.0164061204360771E-3</v>
      </c>
      <c r="U35">
        <f t="shared" si="38"/>
        <v>7.0164061204360771E-3</v>
      </c>
      <c r="V35">
        <f t="shared" si="38"/>
        <v>7.0164061204360771E-3</v>
      </c>
      <c r="W35">
        <f t="shared" si="38"/>
        <v>7.0164061204360771E-3</v>
      </c>
      <c r="X35">
        <f t="shared" si="38"/>
        <v>7.0164061204360771E-3</v>
      </c>
    </row>
    <row r="36" spans="1:24" x14ac:dyDescent="0.45">
      <c r="C36" t="s">
        <v>3</v>
      </c>
      <c r="D36">
        <f t="shared" ref="D36:X36" si="39">D15*D29</f>
        <v>1.9566696591166728E-2</v>
      </c>
      <c r="E36">
        <f t="shared" si="39"/>
        <v>1.9498683854610344E-2</v>
      </c>
      <c r="F36">
        <f t="shared" si="39"/>
        <v>1.9668499312495806E-2</v>
      </c>
      <c r="G36">
        <f t="shared" si="39"/>
        <v>1.9351819406394771E-2</v>
      </c>
      <c r="H36">
        <f t="shared" si="39"/>
        <v>2.1493769283344673E-2</v>
      </c>
      <c r="I36">
        <f t="shared" si="39"/>
        <v>2.4537529299866415E-2</v>
      </c>
      <c r="J36">
        <f t="shared" si="39"/>
        <v>2.5505964967384779E-2</v>
      </c>
      <c r="K36">
        <f t="shared" si="39"/>
        <v>2.7373932602842547E-2</v>
      </c>
      <c r="L36">
        <f t="shared" si="39"/>
        <v>2.7882413103779577E-2</v>
      </c>
      <c r="M36">
        <f t="shared" si="39"/>
        <v>2.7982237381944556E-2</v>
      </c>
      <c r="N36">
        <f t="shared" si="39"/>
        <v>2.771464990549866E-2</v>
      </c>
      <c r="O36">
        <f t="shared" si="39"/>
        <v>2.7462099776619509E-2</v>
      </c>
      <c r="P36">
        <f t="shared" si="39"/>
        <v>2.7837405186484764E-2</v>
      </c>
      <c r="Q36">
        <f t="shared" si="39"/>
        <v>2.7837405186484764E-2</v>
      </c>
      <c r="R36">
        <f t="shared" si="39"/>
        <v>2.7837405186484764E-2</v>
      </c>
      <c r="S36">
        <f t="shared" si="39"/>
        <v>2.7837405186484764E-2</v>
      </c>
      <c r="T36">
        <f t="shared" si="39"/>
        <v>2.7837405186484764E-2</v>
      </c>
      <c r="U36">
        <f t="shared" si="39"/>
        <v>2.7837405186484764E-2</v>
      </c>
      <c r="V36">
        <f t="shared" si="39"/>
        <v>2.7837405186484764E-2</v>
      </c>
      <c r="W36">
        <f t="shared" si="39"/>
        <v>2.7837405186484764E-2</v>
      </c>
      <c r="X36">
        <f t="shared" si="39"/>
        <v>2.7837405186484764E-2</v>
      </c>
    </row>
    <row r="37" spans="1:24" x14ac:dyDescent="0.45">
      <c r="C37" t="s">
        <v>12</v>
      </c>
      <c r="D37">
        <f t="shared" ref="D37:X37" si="40">SUM(D33:D36)</f>
        <v>2.4795566450673941E-2</v>
      </c>
      <c r="E37">
        <f t="shared" si="40"/>
        <v>2.4826559490982787E-2</v>
      </c>
      <c r="F37">
        <f t="shared" si="40"/>
        <v>2.4836749195117042E-2</v>
      </c>
      <c r="G37">
        <f t="shared" si="40"/>
        <v>2.4626630321012824E-2</v>
      </c>
      <c r="H37">
        <f t="shared" si="40"/>
        <v>2.7289514031504595E-2</v>
      </c>
      <c r="I37">
        <f t="shared" si="40"/>
        <v>3.0660568667462224E-2</v>
      </c>
      <c r="J37">
        <f t="shared" si="40"/>
        <v>3.1877096993117991E-2</v>
      </c>
      <c r="K37">
        <f t="shared" si="40"/>
        <v>3.5876060526191432E-2</v>
      </c>
      <c r="L37">
        <f t="shared" si="40"/>
        <v>3.6907385597619746E-2</v>
      </c>
      <c r="M37">
        <f t="shared" si="40"/>
        <v>3.6979494151529291E-2</v>
      </c>
      <c r="N37">
        <f t="shared" si="40"/>
        <v>3.6926324117621201E-2</v>
      </c>
      <c r="O37">
        <f t="shared" si="40"/>
        <v>3.6802293373045421E-2</v>
      </c>
      <c r="P37">
        <f t="shared" si="40"/>
        <v>3.6922302233627483E-2</v>
      </c>
      <c r="Q37">
        <f t="shared" si="40"/>
        <v>3.6922302233627483E-2</v>
      </c>
      <c r="R37">
        <f t="shared" si="40"/>
        <v>3.6922302233627483E-2</v>
      </c>
      <c r="S37">
        <f t="shared" si="40"/>
        <v>3.6922302233627483E-2</v>
      </c>
      <c r="T37">
        <f t="shared" si="40"/>
        <v>3.6922302233627483E-2</v>
      </c>
      <c r="U37">
        <f t="shared" si="40"/>
        <v>3.6922302233627483E-2</v>
      </c>
      <c r="V37">
        <f t="shared" si="40"/>
        <v>3.6922302233627483E-2</v>
      </c>
      <c r="W37">
        <f t="shared" si="40"/>
        <v>3.6922302233627483E-2</v>
      </c>
      <c r="X37">
        <f t="shared" si="40"/>
        <v>3.6922302233627483E-2</v>
      </c>
    </row>
    <row r="39" spans="1:24" x14ac:dyDescent="0.45">
      <c r="A39" t="s">
        <v>89</v>
      </c>
      <c r="C39" t="s">
        <v>11</v>
      </c>
      <c r="D39">
        <v>2010</v>
      </c>
      <c r="E39">
        <f>D39+1</f>
        <v>2011</v>
      </c>
      <c r="F39">
        <f t="shared" ref="F39" si="41">E39+1</f>
        <v>2012</v>
      </c>
      <c r="G39">
        <f t="shared" ref="G39" si="42">F39+1</f>
        <v>2013</v>
      </c>
      <c r="H39">
        <f t="shared" ref="H39" si="43">G39+1</f>
        <v>2014</v>
      </c>
      <c r="I39">
        <f t="shared" ref="I39" si="44">H39+1</f>
        <v>2015</v>
      </c>
      <c r="J39">
        <f t="shared" ref="J39" si="45">I39+1</f>
        <v>2016</v>
      </c>
      <c r="K39">
        <f t="shared" ref="K39" si="46">J39+1</f>
        <v>2017</v>
      </c>
      <c r="L39">
        <f t="shared" ref="L39" si="47">K39+1</f>
        <v>2018</v>
      </c>
      <c r="M39">
        <f t="shared" ref="M39" si="48">L39+1</f>
        <v>2019</v>
      </c>
      <c r="N39">
        <f t="shared" ref="N39" si="49">M39+1</f>
        <v>2020</v>
      </c>
      <c r="O39">
        <f t="shared" ref="O39" si="50">N39+1</f>
        <v>2021</v>
      </c>
      <c r="P39">
        <f t="shared" ref="P39" si="51">O39+1</f>
        <v>2022</v>
      </c>
      <c r="Q39">
        <f t="shared" ref="Q39" si="52">P39+1</f>
        <v>2023</v>
      </c>
      <c r="R39">
        <f t="shared" ref="R39" si="53">Q39+1</f>
        <v>2024</v>
      </c>
      <c r="S39">
        <f t="shared" ref="S39" si="54">R39+1</f>
        <v>2025</v>
      </c>
      <c r="T39">
        <f t="shared" ref="T39" si="55">S39+1</f>
        <v>2026</v>
      </c>
      <c r="U39">
        <f t="shared" ref="U39" si="56">T39+1</f>
        <v>2027</v>
      </c>
      <c r="V39">
        <f t="shared" ref="V39" si="57">U39+1</f>
        <v>2028</v>
      </c>
      <c r="W39">
        <f t="shared" ref="W39" si="58">V39+1</f>
        <v>2029</v>
      </c>
      <c r="X39">
        <f t="shared" ref="X39" si="59">W39+1</f>
        <v>2030</v>
      </c>
    </row>
    <row r="40" spans="1:24" x14ac:dyDescent="0.45">
      <c r="A40" t="s">
        <v>117</v>
      </c>
      <c r="C40" t="s">
        <v>89</v>
      </c>
      <c r="D40">
        <f>AVERAGE(E40:O40)</f>
        <v>71.355984848484866</v>
      </c>
      <c r="E40">
        <v>73.174999999999997</v>
      </c>
      <c r="F40">
        <v>73.327500000000001</v>
      </c>
      <c r="G40">
        <v>73.375</v>
      </c>
      <c r="H40">
        <v>73.284999999999997</v>
      </c>
      <c r="I40">
        <v>72.907499999999999</v>
      </c>
      <c r="J40">
        <v>73.069999999999993</v>
      </c>
      <c r="K40">
        <v>71.067499999999995</v>
      </c>
      <c r="L40">
        <v>69.765000000000001</v>
      </c>
      <c r="M40">
        <v>69.137499999999989</v>
      </c>
      <c r="N40">
        <v>68.052499999999995</v>
      </c>
      <c r="O40">
        <v>67.75333333333333</v>
      </c>
    </row>
    <row r="42" spans="1:24" x14ac:dyDescent="0.45">
      <c r="A42" t="s">
        <v>56</v>
      </c>
      <c r="C42" t="s">
        <v>11</v>
      </c>
      <c r="D42">
        <v>2010</v>
      </c>
      <c r="E42">
        <f>D42+1</f>
        <v>2011</v>
      </c>
      <c r="F42">
        <f t="shared" ref="F42:X42" si="60">E42+1</f>
        <v>2012</v>
      </c>
      <c r="G42">
        <f t="shared" si="60"/>
        <v>2013</v>
      </c>
      <c r="H42">
        <f t="shared" si="60"/>
        <v>2014</v>
      </c>
      <c r="I42">
        <f t="shared" si="60"/>
        <v>2015</v>
      </c>
      <c r="J42">
        <f t="shared" si="60"/>
        <v>2016</v>
      </c>
      <c r="K42">
        <f t="shared" si="60"/>
        <v>2017</v>
      </c>
      <c r="L42">
        <f t="shared" si="60"/>
        <v>2018</v>
      </c>
      <c r="M42">
        <f t="shared" si="60"/>
        <v>2019</v>
      </c>
      <c r="N42">
        <f t="shared" si="60"/>
        <v>2020</v>
      </c>
      <c r="O42">
        <f t="shared" si="60"/>
        <v>2021</v>
      </c>
      <c r="P42">
        <f t="shared" si="60"/>
        <v>2022</v>
      </c>
      <c r="Q42">
        <f t="shared" si="60"/>
        <v>2023</v>
      </c>
      <c r="R42">
        <f t="shared" si="60"/>
        <v>2024</v>
      </c>
      <c r="S42">
        <f t="shared" si="60"/>
        <v>2025</v>
      </c>
      <c r="T42">
        <f t="shared" si="60"/>
        <v>2026</v>
      </c>
      <c r="U42">
        <f t="shared" si="60"/>
        <v>2027</v>
      </c>
      <c r="V42">
        <f t="shared" si="60"/>
        <v>2028</v>
      </c>
      <c r="W42">
        <f t="shared" si="60"/>
        <v>2029</v>
      </c>
      <c r="X42">
        <f t="shared" si="60"/>
        <v>2030</v>
      </c>
    </row>
    <row r="43" spans="1:24" x14ac:dyDescent="0.45">
      <c r="C43" t="s">
        <v>0</v>
      </c>
      <c r="D43">
        <f t="shared" ref="D43:O43" si="61">D40*D26/100</f>
        <v>3.1421411420266311E-2</v>
      </c>
      <c r="E43">
        <f t="shared" si="61"/>
        <v>2.8257515351665163E-2</v>
      </c>
      <c r="F43">
        <f t="shared" si="61"/>
        <v>3.1154596741062447E-2</v>
      </c>
      <c r="G43">
        <f t="shared" si="61"/>
        <v>4.0901164775054379E-2</v>
      </c>
      <c r="H43">
        <f t="shared" si="61"/>
        <v>3.6122916421510942E-2</v>
      </c>
      <c r="I43">
        <f t="shared" si="61"/>
        <v>2.4440836880820729E-2</v>
      </c>
      <c r="J43">
        <f t="shared" si="61"/>
        <v>2.3422104873493336E-2</v>
      </c>
      <c r="K43">
        <f t="shared" si="61"/>
        <v>2.1572285691603757E-2</v>
      </c>
      <c r="L43">
        <f t="shared" si="61"/>
        <v>2.1427566595899644E-2</v>
      </c>
      <c r="M43">
        <f t="shared" si="61"/>
        <v>1.5945908685019224E-2</v>
      </c>
      <c r="N43">
        <f t="shared" si="61"/>
        <v>1.3777408245791394E-2</v>
      </c>
      <c r="O43">
        <f t="shared" si="61"/>
        <v>2.1350119632663186E-2</v>
      </c>
      <c r="P43">
        <f t="shared" ref="P43:X43" si="62">AVERAGE($K$40:$O$40)*P26/100</f>
        <v>1.8659164611100926E-2</v>
      </c>
      <c r="Q43">
        <f t="shared" si="62"/>
        <v>1.8659164611100926E-2</v>
      </c>
      <c r="R43">
        <f t="shared" si="62"/>
        <v>1.8659164611100926E-2</v>
      </c>
      <c r="S43">
        <f t="shared" si="62"/>
        <v>1.8659164611100926E-2</v>
      </c>
      <c r="T43">
        <f t="shared" si="62"/>
        <v>1.8659164611100926E-2</v>
      </c>
      <c r="U43">
        <f t="shared" si="62"/>
        <v>1.8659164611100926E-2</v>
      </c>
      <c r="V43">
        <f t="shared" si="62"/>
        <v>1.8659164611100926E-2</v>
      </c>
      <c r="W43">
        <f t="shared" si="62"/>
        <v>1.8659164611100926E-2</v>
      </c>
      <c r="X43">
        <f t="shared" si="62"/>
        <v>1.8659164611100926E-2</v>
      </c>
    </row>
    <row r="44" spans="1:24" x14ac:dyDescent="0.45">
      <c r="C44" t="s">
        <v>1</v>
      </c>
      <c r="D44">
        <f>(85+80)/2*D27/100</f>
        <v>3.315117327199725E-2</v>
      </c>
      <c r="E44">
        <f t="shared" ref="E44:X44" si="63">(85+80)/2*E27/100</f>
        <v>3.4682954302301637E-2</v>
      </c>
      <c r="F44">
        <f t="shared" si="63"/>
        <v>3.3830865584546246E-2</v>
      </c>
      <c r="G44">
        <f t="shared" si="63"/>
        <v>3.0925016610388548E-2</v>
      </c>
      <c r="H44">
        <f t="shared" si="63"/>
        <v>3.2902594728171336E-2</v>
      </c>
      <c r="I44">
        <f t="shared" si="63"/>
        <v>3.3142095219454909E-2</v>
      </c>
      <c r="J44">
        <f t="shared" si="63"/>
        <v>3.5236635612565972E-2</v>
      </c>
      <c r="K44">
        <f t="shared" si="63"/>
        <v>3.7432882031148508E-2</v>
      </c>
      <c r="L44">
        <f t="shared" si="63"/>
        <v>4.1568974601354391E-2</v>
      </c>
      <c r="M44">
        <f t="shared" si="63"/>
        <v>4.2641746979228679E-2</v>
      </c>
      <c r="N44">
        <f t="shared" si="63"/>
        <v>4.6132697463847745E-2</v>
      </c>
      <c r="O44">
        <f t="shared" si="63"/>
        <v>4.2927029039463882E-2</v>
      </c>
      <c r="P44">
        <f t="shared" si="63"/>
        <v>4.1866767917463153E-2</v>
      </c>
      <c r="Q44">
        <f t="shared" si="63"/>
        <v>4.1866767917463153E-2</v>
      </c>
      <c r="R44">
        <f t="shared" si="63"/>
        <v>4.1866767917463153E-2</v>
      </c>
      <c r="S44">
        <f t="shared" si="63"/>
        <v>4.1866767917463153E-2</v>
      </c>
      <c r="T44">
        <f t="shared" si="63"/>
        <v>4.1866767917463153E-2</v>
      </c>
      <c r="U44">
        <f t="shared" si="63"/>
        <v>4.1866767917463153E-2</v>
      </c>
      <c r="V44">
        <f t="shared" si="63"/>
        <v>4.1866767917463153E-2</v>
      </c>
      <c r="W44">
        <f t="shared" si="63"/>
        <v>4.1866767917463153E-2</v>
      </c>
      <c r="X44">
        <f t="shared" si="63"/>
        <v>4.1866767917463153E-2</v>
      </c>
    </row>
    <row r="45" spans="1:24" x14ac:dyDescent="0.45">
      <c r="C45" t="s">
        <v>2</v>
      </c>
      <c r="D45">
        <f>(90+85)/2*D28/100</f>
        <v>0.17873257095946113</v>
      </c>
      <c r="E45">
        <f t="shared" ref="E45:X45" si="64">(90+85)/2*E28/100</f>
        <v>0.18401307263426905</v>
      </c>
      <c r="F45">
        <f t="shared" si="64"/>
        <v>0.17612683613924474</v>
      </c>
      <c r="G45">
        <f t="shared" si="64"/>
        <v>0.17768621838337686</v>
      </c>
      <c r="H45">
        <f t="shared" si="64"/>
        <v>0.17391285694673259</v>
      </c>
      <c r="I45">
        <f t="shared" si="64"/>
        <v>0.18159533634529965</v>
      </c>
      <c r="J45">
        <f t="shared" si="64"/>
        <v>0.18964361633509264</v>
      </c>
      <c r="K45">
        <f t="shared" si="64"/>
        <v>0.19737103246200255</v>
      </c>
      <c r="L45">
        <f t="shared" si="64"/>
        <v>0.19410922657327487</v>
      </c>
      <c r="M45">
        <f t="shared" si="64"/>
        <v>0.19748141682621917</v>
      </c>
      <c r="N45">
        <f t="shared" si="64"/>
        <v>0.20209880884356732</v>
      </c>
      <c r="O45">
        <f t="shared" si="64"/>
        <v>0.20116530156366344</v>
      </c>
      <c r="P45">
        <f t="shared" si="64"/>
        <v>0.19804372114134089</v>
      </c>
      <c r="Q45">
        <f t="shared" si="64"/>
        <v>0.19804372114134089</v>
      </c>
      <c r="R45">
        <f t="shared" si="64"/>
        <v>0.19804372114134089</v>
      </c>
      <c r="S45">
        <f t="shared" si="64"/>
        <v>0.19804372114134089</v>
      </c>
      <c r="T45">
        <f t="shared" si="64"/>
        <v>0.19804372114134089</v>
      </c>
      <c r="U45">
        <f t="shared" si="64"/>
        <v>0.19804372114134089</v>
      </c>
      <c r="V45">
        <f t="shared" si="64"/>
        <v>0.19804372114134089</v>
      </c>
      <c r="W45">
        <f t="shared" si="64"/>
        <v>0.19804372114134089</v>
      </c>
      <c r="X45">
        <f t="shared" si="64"/>
        <v>0.19804372114134089</v>
      </c>
    </row>
    <row r="46" spans="1:24" x14ac:dyDescent="0.45">
      <c r="C46" t="s">
        <v>3</v>
      </c>
      <c r="D46">
        <f>(95+90)/2*D29/100</f>
        <v>0.65815252170288074</v>
      </c>
      <c r="E46">
        <f t="shared" ref="E46:X46" si="65">(95+90)/2*E29/100</f>
        <v>0.65586482056416617</v>
      </c>
      <c r="F46">
        <f t="shared" si="65"/>
        <v>0.6615767950566771</v>
      </c>
      <c r="G46">
        <f t="shared" si="65"/>
        <v>0.65092483457873318</v>
      </c>
      <c r="H46">
        <f t="shared" si="65"/>
        <v>0.65866429355926881</v>
      </c>
      <c r="I46">
        <f t="shared" si="65"/>
        <v>0.66485962279743172</v>
      </c>
      <c r="J46">
        <f t="shared" si="65"/>
        <v>0.65536159985641451</v>
      </c>
      <c r="K46">
        <f t="shared" si="65"/>
        <v>0.64630237727515483</v>
      </c>
      <c r="L46">
        <f t="shared" si="65"/>
        <v>0.6447808030249027</v>
      </c>
      <c r="M46">
        <f t="shared" si="65"/>
        <v>0.64708923945746788</v>
      </c>
      <c r="N46">
        <f t="shared" si="65"/>
        <v>0.64090127906465655</v>
      </c>
      <c r="O46">
        <f t="shared" si="65"/>
        <v>0.63506105733432616</v>
      </c>
      <c r="P46">
        <f t="shared" si="65"/>
        <v>0.64373999493746015</v>
      </c>
      <c r="Q46">
        <f t="shared" si="65"/>
        <v>0.64373999493746015</v>
      </c>
      <c r="R46">
        <f t="shared" si="65"/>
        <v>0.64373999493746015</v>
      </c>
      <c r="S46">
        <f t="shared" si="65"/>
        <v>0.64373999493746015</v>
      </c>
      <c r="T46">
        <f t="shared" si="65"/>
        <v>0.64373999493746015</v>
      </c>
      <c r="U46">
        <f t="shared" si="65"/>
        <v>0.64373999493746015</v>
      </c>
      <c r="V46">
        <f t="shared" si="65"/>
        <v>0.64373999493746015</v>
      </c>
      <c r="W46">
        <f t="shared" si="65"/>
        <v>0.64373999493746015</v>
      </c>
      <c r="X46">
        <f t="shared" si="65"/>
        <v>0.64373999493746015</v>
      </c>
    </row>
    <row r="47" spans="1:24" x14ac:dyDescent="0.45">
      <c r="C47" t="s">
        <v>12</v>
      </c>
      <c r="D47">
        <f>SUM(D43:D46)</f>
        <v>0.90145767735460547</v>
      </c>
      <c r="E47">
        <f t="shared" ref="E47:X47" si="66">SUM(E43:E46)</f>
        <v>0.90281836285240202</v>
      </c>
      <c r="F47">
        <f t="shared" si="66"/>
        <v>0.90268909352153059</v>
      </c>
      <c r="G47">
        <f t="shared" si="66"/>
        <v>0.90043723434755296</v>
      </c>
      <c r="H47">
        <f t="shared" si="66"/>
        <v>0.9016026616556837</v>
      </c>
      <c r="I47">
        <f t="shared" si="66"/>
        <v>0.90403789124300693</v>
      </c>
      <c r="J47">
        <f t="shared" si="66"/>
        <v>0.90366395667756638</v>
      </c>
      <c r="K47">
        <f t="shared" si="66"/>
        <v>0.90267857745990965</v>
      </c>
      <c r="L47">
        <f t="shared" si="66"/>
        <v>0.90188657079543155</v>
      </c>
      <c r="M47">
        <f t="shared" si="66"/>
        <v>0.90315831194793494</v>
      </c>
      <c r="N47">
        <f t="shared" si="66"/>
        <v>0.90291019361786296</v>
      </c>
      <c r="O47">
        <f t="shared" si="66"/>
        <v>0.90050350757011666</v>
      </c>
      <c r="P47">
        <f t="shared" si="66"/>
        <v>0.90230964860736518</v>
      </c>
      <c r="Q47">
        <f t="shared" si="66"/>
        <v>0.90230964860736518</v>
      </c>
      <c r="R47">
        <f t="shared" si="66"/>
        <v>0.90230964860736518</v>
      </c>
      <c r="S47">
        <f t="shared" si="66"/>
        <v>0.90230964860736518</v>
      </c>
      <c r="T47">
        <f t="shared" si="66"/>
        <v>0.90230964860736518</v>
      </c>
      <c r="U47">
        <f t="shared" si="66"/>
        <v>0.90230964860736518</v>
      </c>
      <c r="V47">
        <f t="shared" si="66"/>
        <v>0.90230964860736518</v>
      </c>
      <c r="W47">
        <f t="shared" si="66"/>
        <v>0.90230964860736518</v>
      </c>
      <c r="X47">
        <f t="shared" si="66"/>
        <v>0.90230964860736518</v>
      </c>
    </row>
    <row r="49" spans="1:24" x14ac:dyDescent="0.45">
      <c r="A49" t="s">
        <v>35</v>
      </c>
      <c r="C49" t="s">
        <v>11</v>
      </c>
      <c r="D49">
        <v>2010</v>
      </c>
      <c r="E49">
        <f>D49+1</f>
        <v>2011</v>
      </c>
      <c r="F49">
        <f t="shared" ref="F49:X49" si="67">E49+1</f>
        <v>2012</v>
      </c>
      <c r="G49">
        <f t="shared" si="67"/>
        <v>2013</v>
      </c>
      <c r="H49">
        <f t="shared" si="67"/>
        <v>2014</v>
      </c>
      <c r="I49">
        <f t="shared" si="67"/>
        <v>2015</v>
      </c>
      <c r="J49">
        <f t="shared" si="67"/>
        <v>2016</v>
      </c>
      <c r="K49">
        <f t="shared" si="67"/>
        <v>2017</v>
      </c>
      <c r="L49">
        <f t="shared" si="67"/>
        <v>2018</v>
      </c>
      <c r="M49">
        <f t="shared" si="67"/>
        <v>2019</v>
      </c>
      <c r="N49">
        <f t="shared" si="67"/>
        <v>2020</v>
      </c>
      <c r="O49">
        <f t="shared" si="67"/>
        <v>2021</v>
      </c>
      <c r="P49">
        <f t="shared" si="67"/>
        <v>2022</v>
      </c>
      <c r="Q49">
        <f t="shared" si="67"/>
        <v>2023</v>
      </c>
      <c r="R49">
        <f t="shared" si="67"/>
        <v>2024</v>
      </c>
      <c r="S49">
        <f t="shared" si="67"/>
        <v>2025</v>
      </c>
      <c r="T49">
        <f t="shared" si="67"/>
        <v>2026</v>
      </c>
      <c r="U49">
        <f t="shared" si="67"/>
        <v>2027</v>
      </c>
      <c r="V49">
        <f t="shared" si="67"/>
        <v>2028</v>
      </c>
      <c r="W49">
        <f t="shared" si="67"/>
        <v>2029</v>
      </c>
      <c r="X49">
        <f t="shared" si="67"/>
        <v>2030</v>
      </c>
    </row>
    <row r="50" spans="1:24" x14ac:dyDescent="0.45">
      <c r="C50">
        <v>1</v>
      </c>
      <c r="D50">
        <f>$D$29*F$8+(1-$D$29)*F$7</f>
        <v>0.16350416994469724</v>
      </c>
      <c r="E50">
        <f>E$29*$F$8+(1-E$29)*$F$7</f>
        <v>0.16350622221299238</v>
      </c>
      <c r="F50">
        <f t="shared" ref="F50:X50" si="68">F$29*$F$8+(1-F$29)*$F$7</f>
        <v>0.16350109807157581</v>
      </c>
      <c r="G50">
        <f t="shared" si="68"/>
        <v>0.1635106538131017</v>
      </c>
      <c r="H50">
        <f t="shared" si="68"/>
        <v>0.16350371084051732</v>
      </c>
      <c r="I50">
        <f t="shared" si="68"/>
        <v>0.16349815308755811</v>
      </c>
      <c r="J50">
        <f t="shared" si="68"/>
        <v>0.16350667364604302</v>
      </c>
      <c r="K50">
        <f t="shared" si="68"/>
        <v>0.16351480056217188</v>
      </c>
      <c r="L50">
        <f t="shared" si="68"/>
        <v>0.16351616554754506</v>
      </c>
      <c r="M50">
        <f t="shared" si="68"/>
        <v>0.16351409467787514</v>
      </c>
      <c r="N50">
        <f t="shared" si="68"/>
        <v>0.16351964582033465</v>
      </c>
      <c r="O50">
        <f t="shared" si="68"/>
        <v>0.16352488501075643</v>
      </c>
      <c r="P50">
        <f>P$29*$F$8+(1-P$29)*$F$7</f>
        <v>0.16351709924356111</v>
      </c>
      <c r="Q50">
        <f t="shared" si="68"/>
        <v>0.16351709924356111</v>
      </c>
      <c r="R50">
        <f t="shared" si="68"/>
        <v>0.16351709924356111</v>
      </c>
      <c r="S50">
        <f t="shared" si="68"/>
        <v>0.16351709924356111</v>
      </c>
      <c r="T50">
        <f t="shared" si="68"/>
        <v>0.16351709924356111</v>
      </c>
      <c r="U50">
        <f t="shared" si="68"/>
        <v>0.16351709924356111</v>
      </c>
      <c r="V50">
        <f t="shared" si="68"/>
        <v>0.16351709924356111</v>
      </c>
      <c r="W50">
        <f t="shared" si="68"/>
        <v>0.16351709924356111</v>
      </c>
      <c r="X50">
        <f t="shared" si="68"/>
        <v>0.16351709924356111</v>
      </c>
    </row>
    <row r="51" spans="1:24" x14ac:dyDescent="0.45">
      <c r="C51">
        <f>C50+1</f>
        <v>2</v>
      </c>
      <c r="E51">
        <f>D$29*$G$8+(1-D$29)*$G$7</f>
        <v>0.19616653346918722</v>
      </c>
      <c r="F51">
        <f>E$29*$G$8+(1-E$29)*$G$7</f>
        <v>0.19616899570826862</v>
      </c>
      <c r="G51">
        <f>F$29*$G$8+(1-F$29)*$G$7</f>
        <v>0.1961628479442144</v>
      </c>
      <c r="H51">
        <f>G$29*$G$8+(1-G$29)*$G$7</f>
        <v>0.19617431258570028</v>
      </c>
      <c r="I51">
        <f t="shared" ref="I51:X51" si="69">H$29*$G$8+(1-H$29)*$G$7</f>
        <v>0.19616598265219271</v>
      </c>
      <c r="J51">
        <f t="shared" si="69"/>
        <v>0.19615931465631065</v>
      </c>
      <c r="K51">
        <f t="shared" si="69"/>
        <v>0.19616953732171288</v>
      </c>
      <c r="L51">
        <f t="shared" si="69"/>
        <v>0.19617928770890686</v>
      </c>
      <c r="M51">
        <f t="shared" si="69"/>
        <v>0.19618092537019086</v>
      </c>
      <c r="N51">
        <f t="shared" si="69"/>
        <v>0.19617844081383642</v>
      </c>
      <c r="O51">
        <f t="shared" si="69"/>
        <v>0.19618510087867419</v>
      </c>
      <c r="P51">
        <f t="shared" si="69"/>
        <v>0.19619138667446503</v>
      </c>
      <c r="Q51">
        <f t="shared" si="69"/>
        <v>0.19618204558572327</v>
      </c>
      <c r="R51">
        <f t="shared" si="69"/>
        <v>0.19618204558572327</v>
      </c>
      <c r="S51">
        <f t="shared" si="69"/>
        <v>0.19618204558572327</v>
      </c>
      <c r="T51">
        <f t="shared" si="69"/>
        <v>0.19618204558572327</v>
      </c>
      <c r="U51">
        <f t="shared" si="69"/>
        <v>0.19618204558572327</v>
      </c>
      <c r="V51">
        <f t="shared" si="69"/>
        <v>0.19618204558572327</v>
      </c>
      <c r="W51">
        <f t="shared" si="69"/>
        <v>0.19618204558572327</v>
      </c>
      <c r="X51">
        <f t="shared" si="69"/>
        <v>0.19618204558572327</v>
      </c>
    </row>
    <row r="52" spans="1:24" x14ac:dyDescent="0.45">
      <c r="C52">
        <f t="shared" ref="C52:C64" si="70">C51+1</f>
        <v>3</v>
      </c>
      <c r="F52">
        <f>D$29*$H$8+(1-D$29)*$H$7</f>
        <v>0.18129511921402375</v>
      </c>
      <c r="G52">
        <f>E$29*$H$8+(1-E$29)*$H$7</f>
        <v>0.18129739479039192</v>
      </c>
      <c r="H52">
        <f>F$29*$H$8+(1-F$29)*$H$7</f>
        <v>0.18129171308925057</v>
      </c>
      <c r="I52">
        <f>G$29*$H$8+(1-G$29)*$H$7</f>
        <v>0.18130230859454993</v>
      </c>
      <c r="J52">
        <f t="shared" ref="J52:X52" si="71">H$29*$H$8+(1-H$29)*$H$7</f>
        <v>0.18129461015454801</v>
      </c>
      <c r="K52">
        <f t="shared" si="71"/>
        <v>0.18128844766043153</v>
      </c>
      <c r="L52">
        <f t="shared" si="71"/>
        <v>0.18129789534403995</v>
      </c>
      <c r="M52">
        <f t="shared" si="71"/>
        <v>0.18130690655292178</v>
      </c>
      <c r="N52">
        <f t="shared" si="71"/>
        <v>0.18130842006285877</v>
      </c>
      <c r="O52">
        <f t="shared" si="71"/>
        <v>0.18130612386109338</v>
      </c>
      <c r="P52">
        <f t="shared" si="71"/>
        <v>0.18131227902541922</v>
      </c>
      <c r="Q52">
        <f t="shared" si="71"/>
        <v>0.1813180882940906</v>
      </c>
      <c r="R52">
        <f t="shared" si="71"/>
        <v>0.18130945535468407</v>
      </c>
      <c r="S52">
        <f t="shared" si="71"/>
        <v>0.18130945535468407</v>
      </c>
      <c r="T52">
        <f t="shared" si="71"/>
        <v>0.18130945535468407</v>
      </c>
      <c r="U52">
        <f t="shared" si="71"/>
        <v>0.18130945535468407</v>
      </c>
      <c r="V52">
        <f t="shared" si="71"/>
        <v>0.18130945535468407</v>
      </c>
      <c r="W52">
        <f t="shared" si="71"/>
        <v>0.18130945535468407</v>
      </c>
      <c r="X52">
        <f t="shared" si="71"/>
        <v>0.18130945535468407</v>
      </c>
    </row>
    <row r="53" spans="1:24" x14ac:dyDescent="0.45">
      <c r="C53">
        <f t="shared" si="70"/>
        <v>4</v>
      </c>
      <c r="G53">
        <f>D$29*$I$8+(1-D$29)*$I$7</f>
        <v>0.14000552676970054</v>
      </c>
      <c r="H53">
        <f t="shared" ref="H53:X53" si="72">E$29*$I$8+(1-E$29)*$I$7</f>
        <v>0.14000728408820703</v>
      </c>
      <c r="I53">
        <f t="shared" si="72"/>
        <v>0.14000289638287503</v>
      </c>
      <c r="J53">
        <f t="shared" si="72"/>
        <v>0.14001107878352242</v>
      </c>
      <c r="K53">
        <f t="shared" si="72"/>
        <v>0.1400051336474788</v>
      </c>
      <c r="L53">
        <f t="shared" si="72"/>
        <v>0.14000037464878798</v>
      </c>
      <c r="M53">
        <f t="shared" si="72"/>
        <v>0.14000767064178593</v>
      </c>
      <c r="N53">
        <f t="shared" si="72"/>
        <v>0.14001462956628319</v>
      </c>
      <c r="O53">
        <f t="shared" si="72"/>
        <v>0.14001579837742889</v>
      </c>
      <c r="P53">
        <f t="shared" si="72"/>
        <v>0.14001402513091721</v>
      </c>
      <c r="Q53">
        <f t="shared" si="72"/>
        <v>0.14001877846916222</v>
      </c>
      <c r="R53">
        <f t="shared" si="72"/>
        <v>0.14002326468878029</v>
      </c>
      <c r="S53">
        <f t="shared" si="72"/>
        <v>0.14001659788365933</v>
      </c>
      <c r="T53">
        <f t="shared" si="72"/>
        <v>0.14001659788365933</v>
      </c>
      <c r="U53">
        <f t="shared" si="72"/>
        <v>0.14001659788365933</v>
      </c>
      <c r="V53">
        <f t="shared" si="72"/>
        <v>0.14001659788365933</v>
      </c>
      <c r="W53">
        <f t="shared" si="72"/>
        <v>0.14001659788365933</v>
      </c>
      <c r="X53">
        <f t="shared" si="72"/>
        <v>0.14001659788365933</v>
      </c>
    </row>
    <row r="54" spans="1:24" x14ac:dyDescent="0.45">
      <c r="C54">
        <f t="shared" si="70"/>
        <v>5</v>
      </c>
      <c r="H54">
        <f>D$29*$J$8+(1-D$29)*$J$7</f>
        <v>0.10165571331569867</v>
      </c>
      <c r="I54">
        <f t="shared" ref="I54:X54" si="73">E$29*$J$8+(1-E$29)*$J$7</f>
        <v>0.10165698927580127</v>
      </c>
      <c r="J54">
        <f t="shared" si="73"/>
        <v>0.1016538034350303</v>
      </c>
      <c r="K54">
        <f t="shared" si="73"/>
        <v>0.1016597445417397</v>
      </c>
      <c r="L54">
        <f t="shared" si="73"/>
        <v>0.10165542787611073</v>
      </c>
      <c r="M54">
        <f t="shared" si="73"/>
        <v>0.10165197244533063</v>
      </c>
      <c r="N54">
        <f t="shared" si="73"/>
        <v>0.10165726994600553</v>
      </c>
      <c r="O54">
        <f t="shared" si="73"/>
        <v>0.10166232270677864</v>
      </c>
      <c r="P54">
        <f t="shared" si="73"/>
        <v>0.10166317136135314</v>
      </c>
      <c r="Q54">
        <f t="shared" si="73"/>
        <v>0.1016618838361876</v>
      </c>
      <c r="R54">
        <f t="shared" si="73"/>
        <v>0.10166533515701097</v>
      </c>
      <c r="S54">
        <f t="shared" si="73"/>
        <v>0.10166859252738691</v>
      </c>
      <c r="T54">
        <f t="shared" si="73"/>
        <v>0.10166375186969472</v>
      </c>
      <c r="U54">
        <f t="shared" si="73"/>
        <v>0.10166375186969472</v>
      </c>
      <c r="V54">
        <f t="shared" si="73"/>
        <v>0.10166375186969472</v>
      </c>
      <c r="W54">
        <f t="shared" si="73"/>
        <v>0.10166375186969472</v>
      </c>
      <c r="X54">
        <f t="shared" si="73"/>
        <v>0.10166375186969472</v>
      </c>
    </row>
    <row r="55" spans="1:24" x14ac:dyDescent="0.45">
      <c r="C55">
        <f t="shared" si="70"/>
        <v>6</v>
      </c>
      <c r="I55">
        <f>D$29*$K$8+(1-D$29)*$K$7</f>
        <v>6.902518632339763E-2</v>
      </c>
      <c r="J55">
        <f t="shared" ref="J55:X55" si="74">E$29*$K$8+(1-E$29)*$K$7</f>
        <v>6.9026052712319111E-2</v>
      </c>
      <c r="K55">
        <f t="shared" si="74"/>
        <v>6.902388949644428E-2</v>
      </c>
      <c r="L55">
        <f t="shared" si="74"/>
        <v>6.9027923563829252E-2</v>
      </c>
      <c r="M55">
        <f t="shared" si="74"/>
        <v>6.9024992507230293E-2</v>
      </c>
      <c r="N55">
        <f t="shared" si="74"/>
        <v>6.9022646237201349E-2</v>
      </c>
      <c r="O55">
        <f t="shared" si="74"/>
        <v>6.9026243290030029E-2</v>
      </c>
      <c r="P55">
        <f t="shared" si="74"/>
        <v>6.9029674162161409E-2</v>
      </c>
      <c r="Q55">
        <f t="shared" si="74"/>
        <v>6.9030250406606694E-2</v>
      </c>
      <c r="R55">
        <f t="shared" si="74"/>
        <v>6.9029376164898584E-2</v>
      </c>
      <c r="S55">
        <f t="shared" si="74"/>
        <v>6.9031719644228218E-2</v>
      </c>
      <c r="T55">
        <f t="shared" si="74"/>
        <v>6.903393142937822E-2</v>
      </c>
      <c r="U55">
        <f t="shared" si="74"/>
        <v>6.9030644577235498E-2</v>
      </c>
      <c r="V55">
        <f t="shared" si="74"/>
        <v>6.9030644577235498E-2</v>
      </c>
      <c r="W55">
        <f t="shared" si="74"/>
        <v>6.9030644577235498E-2</v>
      </c>
      <c r="X55">
        <f t="shared" si="74"/>
        <v>6.9030644577235498E-2</v>
      </c>
    </row>
    <row r="56" spans="1:24" x14ac:dyDescent="0.45">
      <c r="C56">
        <f t="shared" si="70"/>
        <v>7</v>
      </c>
      <c r="J56">
        <f>D$29*$L$8+(1-D$29)*$L$7</f>
        <v>4.6224332833579886E-2</v>
      </c>
      <c r="K56">
        <f t="shared" ref="K56:X56" si="75">E$29*$L$8+(1-E$29)*$L$7</f>
        <v>4.622491303121503E-2</v>
      </c>
      <c r="L56">
        <f t="shared" si="75"/>
        <v>4.6223464383034332E-2</v>
      </c>
      <c r="M56">
        <f t="shared" si="75"/>
        <v>4.6226165890750709E-2</v>
      </c>
      <c r="N56">
        <f t="shared" si="75"/>
        <v>4.6224203040043571E-2</v>
      </c>
      <c r="O56">
        <f t="shared" si="75"/>
        <v>4.6222631805360813E-2</v>
      </c>
      <c r="P56">
        <f t="shared" si="75"/>
        <v>4.6225040656043138E-2</v>
      </c>
      <c r="Q56">
        <f t="shared" si="75"/>
        <v>4.6227338219928991E-2</v>
      </c>
      <c r="R56">
        <f t="shared" si="75"/>
        <v>4.6227724115519439E-2</v>
      </c>
      <c r="S56">
        <f t="shared" si="75"/>
        <v>4.622713865908179E-2</v>
      </c>
      <c r="T56">
        <f t="shared" si="75"/>
        <v>4.6228708024907403E-2</v>
      </c>
      <c r="U56">
        <f t="shared" si="75"/>
        <v>4.6230189198640866E-2</v>
      </c>
      <c r="V56">
        <f t="shared" si="75"/>
        <v>4.6227988081113877E-2</v>
      </c>
      <c r="W56">
        <f t="shared" si="75"/>
        <v>4.6227988081113877E-2</v>
      </c>
      <c r="X56">
        <f t="shared" si="75"/>
        <v>4.6227988081113877E-2</v>
      </c>
    </row>
    <row r="57" spans="1:24" x14ac:dyDescent="0.45">
      <c r="C57">
        <f t="shared" si="70"/>
        <v>8</v>
      </c>
      <c r="K57">
        <f>D$29*$M$8+(1-D$29)*$M$7</f>
        <v>3.2824692230045881E-2</v>
      </c>
      <c r="L57">
        <f t="shared" ref="L57:X57" si="76">E$29*$M$8+(1-E$29)*$M$7</f>
        <v>3.2825104238346246E-2</v>
      </c>
      <c r="M57">
        <f t="shared" si="76"/>
        <v>3.2824075528405702E-2</v>
      </c>
      <c r="N57">
        <f t="shared" si="76"/>
        <v>3.2825993915409066E-2</v>
      </c>
      <c r="O57">
        <f t="shared" si="76"/>
        <v>3.2824600061427719E-2</v>
      </c>
      <c r="P57">
        <f t="shared" si="76"/>
        <v>3.2823484300707736E-2</v>
      </c>
      <c r="Q57">
        <f t="shared" si="76"/>
        <v>3.282519486692749E-2</v>
      </c>
      <c r="R57">
        <f t="shared" si="76"/>
        <v>3.2826826406482712E-2</v>
      </c>
      <c r="S57">
        <f t="shared" si="76"/>
        <v>3.2827100437565759E-2</v>
      </c>
      <c r="T57">
        <f t="shared" si="76"/>
        <v>3.2826684694899466E-2</v>
      </c>
      <c r="U57">
        <f t="shared" si="76"/>
        <v>3.28277991285119E-2</v>
      </c>
      <c r="V57">
        <f t="shared" si="76"/>
        <v>3.2828850935405801E-2</v>
      </c>
      <c r="W57">
        <f t="shared" si="76"/>
        <v>3.2827287884065595E-2</v>
      </c>
      <c r="X57">
        <f t="shared" si="76"/>
        <v>3.2827287884065595E-2</v>
      </c>
    </row>
    <row r="58" spans="1:24" x14ac:dyDescent="0.45">
      <c r="C58">
        <f t="shared" si="70"/>
        <v>9</v>
      </c>
      <c r="L58">
        <f>D$29*$N$8+(1-D$29)*$N$7</f>
        <v>2.1403859453914126E-2</v>
      </c>
      <c r="M58">
        <f t="shared" ref="M58:X58" si="77">E$29*$N$8+(1-E$29)*$N$7</f>
        <v>2.1404128110439315E-2</v>
      </c>
      <c r="N58">
        <f t="shared" si="77"/>
        <v>2.1403457323860967E-2</v>
      </c>
      <c r="O58">
        <f t="shared" si="77"/>
        <v>2.1404708238431939E-2</v>
      </c>
      <c r="P58">
        <f t="shared" si="77"/>
        <v>2.1403799353909674E-2</v>
      </c>
      <c r="Q58">
        <f t="shared" si="77"/>
        <v>2.1403071804494519E-2</v>
      </c>
      <c r="R58">
        <f t="shared" si="77"/>
        <v>2.1404187206238351E-2</v>
      </c>
      <c r="S58">
        <f t="shared" si="77"/>
        <v>2.1405251077396343E-2</v>
      </c>
      <c r="T58">
        <f t="shared" si="77"/>
        <v>2.1405429763695867E-2</v>
      </c>
      <c r="U58">
        <f t="shared" si="77"/>
        <v>2.1405158672118344E-2</v>
      </c>
      <c r="V58">
        <f t="shared" si="77"/>
        <v>2.1405885356172043E-2</v>
      </c>
      <c r="W58">
        <f t="shared" si="77"/>
        <v>2.1406571203483937E-2</v>
      </c>
      <c r="X58">
        <f t="shared" si="77"/>
        <v>2.1405551991149192E-2</v>
      </c>
    </row>
    <row r="59" spans="1:24" x14ac:dyDescent="0.45">
      <c r="C59">
        <f t="shared" si="70"/>
        <v>10</v>
      </c>
      <c r="M59">
        <f>D$29*$O$8+(1-D$29)*$O$7</f>
        <v>1.3812651968269812E-2</v>
      </c>
      <c r="N59">
        <f t="shared" ref="N59:X59" si="78">E$29*$O$8+(1-E$29)*$O$7</f>
        <v>1.381282534163219E-2</v>
      </c>
      <c r="O59">
        <f t="shared" si="78"/>
        <v>1.3812392459816102E-2</v>
      </c>
      <c r="P59">
        <f t="shared" si="78"/>
        <v>1.3813199718322358E-2</v>
      </c>
      <c r="Q59">
        <f t="shared" si="78"/>
        <v>1.3812613183654981E-2</v>
      </c>
      <c r="R59">
        <f t="shared" si="78"/>
        <v>1.3812143670813948E-2</v>
      </c>
      <c r="S59">
        <f t="shared" si="78"/>
        <v>1.3812863478198479E-2</v>
      </c>
      <c r="T59">
        <f t="shared" si="78"/>
        <v>1.3813550031110866E-2</v>
      </c>
      <c r="U59">
        <f t="shared" si="78"/>
        <v>1.3813665343569917E-2</v>
      </c>
      <c r="V59">
        <f t="shared" si="78"/>
        <v>1.3813490398783912E-2</v>
      </c>
      <c r="W59">
        <f t="shared" si="78"/>
        <v>1.3813959353177219E-2</v>
      </c>
      <c r="X59">
        <f t="shared" si="78"/>
        <v>1.381440195420639E-2</v>
      </c>
    </row>
    <row r="60" spans="1:24" x14ac:dyDescent="0.45">
      <c r="C60">
        <f t="shared" si="70"/>
        <v>11</v>
      </c>
      <c r="N60">
        <f>D$29*$P$8+(1-D$29)*$P$7</f>
        <v>9.0766048311243103E-3</v>
      </c>
      <c r="O60">
        <f t="shared" ref="O60:X60" si="79">E$29*$P$8+(1-E$29)*$P$7</f>
        <v>9.0751620106623975E-3</v>
      </c>
      <c r="P60">
        <f t="shared" si="79"/>
        <v>9.0787644714630019E-3</v>
      </c>
      <c r="Q60">
        <f t="shared" si="79"/>
        <v>9.0720464319966696E-3</v>
      </c>
      <c r="R60">
        <f t="shared" si="79"/>
        <v>9.0769275983309753E-3</v>
      </c>
      <c r="S60">
        <f t="shared" si="79"/>
        <v>9.080834904072025E-3</v>
      </c>
      <c r="T60">
        <f t="shared" si="79"/>
        <v>9.0748446365431501E-3</v>
      </c>
      <c r="U60">
        <f t="shared" si="79"/>
        <v>9.0691311141393432E-3</v>
      </c>
      <c r="V60">
        <f t="shared" si="79"/>
        <v>9.068171478973092E-3</v>
      </c>
      <c r="W60">
        <f t="shared" si="79"/>
        <v>9.069627376888937E-3</v>
      </c>
      <c r="X60">
        <f t="shared" si="79"/>
        <v>9.0657247185734948E-3</v>
      </c>
    </row>
    <row r="61" spans="1:24" x14ac:dyDescent="0.45">
      <c r="C61">
        <f t="shared" si="70"/>
        <v>12</v>
      </c>
      <c r="O61">
        <f>D$29*$Q$8+(1-D$29)*$Q$7</f>
        <v>5.8140516542654116E-3</v>
      </c>
      <c r="P61">
        <f t="shared" ref="P61:X61" si="80">E$29*$Q$8+(1-E$29)*$Q$7</f>
        <v>5.8115946697356174E-3</v>
      </c>
      <c r="Q61">
        <f t="shared" si="80"/>
        <v>5.8177293141282701E-3</v>
      </c>
      <c r="R61">
        <f t="shared" si="80"/>
        <v>5.8062891388084301E-3</v>
      </c>
      <c r="S61">
        <f t="shared" si="80"/>
        <v>5.8146012957866096E-3</v>
      </c>
      <c r="T61">
        <f t="shared" si="80"/>
        <v>5.8212550618041859E-3</v>
      </c>
      <c r="U61">
        <f t="shared" si="80"/>
        <v>5.8110542121237833E-3</v>
      </c>
      <c r="V61">
        <f t="shared" si="80"/>
        <v>5.8013246327843129E-3</v>
      </c>
      <c r="W61">
        <f t="shared" si="80"/>
        <v>5.7996904663582287E-3</v>
      </c>
      <c r="X61">
        <f t="shared" si="80"/>
        <v>5.8021697205347649E-3</v>
      </c>
    </row>
    <row r="62" spans="1:24" x14ac:dyDescent="0.45">
      <c r="C62">
        <f t="shared" si="70"/>
        <v>13</v>
      </c>
      <c r="P62">
        <f>D$29*$R$8+(1-D$29)*$R$7</f>
        <v>3.9114851724156522E-3</v>
      </c>
      <c r="Q62">
        <f t="shared" ref="Q62:X62" si="81">E$29*$R$8+(1-E$29)*$R$7</f>
        <v>3.9098220934966118E-3</v>
      </c>
      <c r="R62">
        <f t="shared" si="81"/>
        <v>3.9139744996845678E-3</v>
      </c>
      <c r="S62">
        <f t="shared" si="81"/>
        <v>3.9062308960216906E-3</v>
      </c>
      <c r="T62">
        <f t="shared" si="81"/>
        <v>3.9118572127015598E-3</v>
      </c>
      <c r="U62">
        <f t="shared" si="81"/>
        <v>3.9163610009272766E-3</v>
      </c>
      <c r="V62">
        <f t="shared" si="81"/>
        <v>3.9094562695974489E-3</v>
      </c>
      <c r="W62">
        <f t="shared" si="81"/>
        <v>3.9028705308211623E-3</v>
      </c>
      <c r="X62">
        <f t="shared" si="81"/>
        <v>3.9017643994229108E-3</v>
      </c>
    </row>
    <row r="63" spans="1:24" x14ac:dyDescent="0.45">
      <c r="C63">
        <f t="shared" si="70"/>
        <v>14</v>
      </c>
      <c r="Q63">
        <f>D$29*$S$8+(1-D$29)*$S$7</f>
        <v>3.3742195926007336E-3</v>
      </c>
      <c r="R63">
        <f t="shared" ref="R63:X63" si="82">E$29*$S$8+(1-E$29)*$S$7</f>
        <v>3.3727791716390196E-3</v>
      </c>
      <c r="S63">
        <f t="shared" si="82"/>
        <v>3.3763756413231717E-3</v>
      </c>
      <c r="T63">
        <f t="shared" si="82"/>
        <v>3.3696687743744601E-3</v>
      </c>
      <c r="U63">
        <f t="shared" si="82"/>
        <v>3.3745418230254516E-3</v>
      </c>
      <c r="V63">
        <f t="shared" si="82"/>
        <v>3.3784426306739455E-3</v>
      </c>
      <c r="W63">
        <f t="shared" si="82"/>
        <v>3.3724623253326789E-3</v>
      </c>
      <c r="X63">
        <f t="shared" si="82"/>
        <v>3.3667583048721189E-3</v>
      </c>
    </row>
    <row r="64" spans="1:24" x14ac:dyDescent="0.45">
      <c r="C64">
        <f t="shared" si="70"/>
        <v>15</v>
      </c>
      <c r="R64">
        <f>D$29*$T$8+(1-D$29)*$T$7</f>
        <v>3.3858544666982705E-3</v>
      </c>
      <c r="S64">
        <f>E$29*$T$8+(1-E$29)*$T$7</f>
        <v>3.3844044680982955E-3</v>
      </c>
      <c r="T64">
        <f>F$29*$T$8+(1-F$29)*$T$7</f>
        <v>3.3880248514067063E-3</v>
      </c>
      <c r="U64">
        <f t="shared" ref="U64:X64" si="83">G$29*$T$8+(1-G$29)*$T$7</f>
        <v>3.3812733891992399E-3</v>
      </c>
      <c r="V64">
        <f t="shared" si="83"/>
        <v>3.3861788396955615E-3</v>
      </c>
      <c r="W64">
        <f t="shared" si="83"/>
        <v>3.3901055845704485E-3</v>
      </c>
      <c r="X64">
        <f t="shared" si="83"/>
        <v>3.3840855150194292E-3</v>
      </c>
    </row>
    <row r="65" spans="3:24" x14ac:dyDescent="0.45">
      <c r="C65" t="s">
        <v>36</v>
      </c>
      <c r="S65">
        <f t="shared" ref="S65:X65" si="84">D$29*$U$6+(1-D$29)*$U$5</f>
        <v>5.6896986385608552E-3</v>
      </c>
      <c r="T65">
        <f t="shared" si="84"/>
        <v>5.6872435040820615E-3</v>
      </c>
      <c r="U65">
        <f t="shared" si="84"/>
        <v>5.6933735292331762E-3</v>
      </c>
      <c r="V65">
        <f t="shared" si="84"/>
        <v>5.6819419680936636E-3</v>
      </c>
      <c r="W65">
        <f t="shared" si="84"/>
        <v>5.6902478662150414E-3</v>
      </c>
      <c r="X65">
        <f t="shared" si="84"/>
        <v>5.6968966221048242E-3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428D-8C69-4DD1-880C-FE6BE12F83EC}">
  <dimension ref="A1:AD85"/>
  <sheetViews>
    <sheetView topLeftCell="A29" zoomScale="66" workbookViewId="0">
      <selection activeCell="B63" sqref="B63"/>
    </sheetView>
  </sheetViews>
  <sheetFormatPr defaultRowHeight="14.25" x14ac:dyDescent="0.45"/>
  <cols>
    <col min="1" max="1" width="18" customWidth="1"/>
    <col min="2" max="2" width="33.33203125" customWidth="1"/>
    <col min="3" max="3" width="11.1328125" bestFit="1" customWidth="1"/>
    <col min="4" max="11" width="13.1328125" bestFit="1" customWidth="1"/>
    <col min="12" max="23" width="14.3984375" bestFit="1" customWidth="1"/>
    <col min="24" max="30" width="9.265625" bestFit="1" customWidth="1"/>
  </cols>
  <sheetData>
    <row r="1" spans="1:30" x14ac:dyDescent="0.45">
      <c r="A1" t="s">
        <v>26</v>
      </c>
    </row>
    <row r="11" spans="1:30" x14ac:dyDescent="0.45">
      <c r="C11">
        <v>2010</v>
      </c>
      <c r="D11">
        <v>2011</v>
      </c>
      <c r="E11">
        <v>2012</v>
      </c>
      <c r="F11">
        <v>2013</v>
      </c>
      <c r="G11">
        <f>F11+1</f>
        <v>2014</v>
      </c>
      <c r="H11">
        <f t="shared" ref="H11:V11" si="0">G11+1</f>
        <v>2015</v>
      </c>
      <c r="I11">
        <f t="shared" si="0"/>
        <v>2016</v>
      </c>
      <c r="J11">
        <f t="shared" si="0"/>
        <v>2017</v>
      </c>
      <c r="K11">
        <f t="shared" si="0"/>
        <v>2018</v>
      </c>
      <c r="L11">
        <f t="shared" si="0"/>
        <v>2019</v>
      </c>
      <c r="M11">
        <f t="shared" si="0"/>
        <v>2020</v>
      </c>
      <c r="N11">
        <f t="shared" si="0"/>
        <v>2021</v>
      </c>
      <c r="O11">
        <f t="shared" si="0"/>
        <v>2022</v>
      </c>
      <c r="P11">
        <f t="shared" si="0"/>
        <v>2023</v>
      </c>
      <c r="Q11">
        <f t="shared" si="0"/>
        <v>2024</v>
      </c>
      <c r="R11">
        <f t="shared" si="0"/>
        <v>2025</v>
      </c>
      <c r="S11">
        <f t="shared" si="0"/>
        <v>2026</v>
      </c>
      <c r="T11">
        <f t="shared" si="0"/>
        <v>2027</v>
      </c>
      <c r="U11">
        <f t="shared" si="0"/>
        <v>2028</v>
      </c>
      <c r="V11">
        <f t="shared" si="0"/>
        <v>2029</v>
      </c>
    </row>
    <row r="12" spans="1:30" x14ac:dyDescent="0.45">
      <c r="B12" s="6" t="s">
        <v>22</v>
      </c>
    </row>
    <row r="13" spans="1:30" x14ac:dyDescent="0.45">
      <c r="B13" t="s">
        <v>135</v>
      </c>
    </row>
    <row r="14" spans="1:30" x14ac:dyDescent="0.45">
      <c r="A14" t="s">
        <v>119</v>
      </c>
      <c r="B14" t="s">
        <v>15</v>
      </c>
      <c r="C14">
        <v>200937</v>
      </c>
      <c r="D14">
        <v>181611</v>
      </c>
      <c r="E14">
        <v>179218</v>
      </c>
      <c r="F14">
        <v>163522</v>
      </c>
      <c r="G14">
        <v>156077</v>
      </c>
      <c r="H14">
        <v>146477</v>
      </c>
      <c r="I14">
        <v>144010</v>
      </c>
      <c r="J14">
        <v>112913</v>
      </c>
      <c r="K14">
        <v>104354</v>
      </c>
      <c r="L14" s="5">
        <v>99838</v>
      </c>
      <c r="M14">
        <v>94120</v>
      </c>
      <c r="N14" s="5">
        <f>M14*N17*N19*N21</f>
        <v>65894.038723837279</v>
      </c>
      <c r="O14" s="4">
        <f>M14*O17*O19*O21</f>
        <v>74514.49452915389</v>
      </c>
      <c r="P14" s="5">
        <f t="shared" ref="P14:V14" si="1">O14*P17*P19*P21</f>
        <v>76849.736874944647</v>
      </c>
      <c r="Q14" s="5">
        <f t="shared" si="1"/>
        <v>78901.532392872847</v>
      </c>
      <c r="R14" s="5">
        <f t="shared" si="1"/>
        <v>80963.408364729694</v>
      </c>
      <c r="S14" s="5">
        <f t="shared" si="1"/>
        <v>82845.335913838688</v>
      </c>
      <c r="T14" s="5">
        <f>S14*T17*T19*T21</f>
        <v>84717.745621430367</v>
      </c>
      <c r="U14" s="5">
        <f t="shared" si="1"/>
        <v>86064.742480371395</v>
      </c>
      <c r="V14" s="5">
        <f t="shared" si="1"/>
        <v>87179.405795384169</v>
      </c>
      <c r="W14" s="14"/>
      <c r="X14" s="14"/>
      <c r="Y14" s="14"/>
      <c r="Z14" s="14"/>
      <c r="AA14" s="14"/>
      <c r="AB14" s="14"/>
      <c r="AC14" s="14"/>
      <c r="AD14" s="14"/>
    </row>
    <row r="15" spans="1:30" x14ac:dyDescent="0.45">
      <c r="B15" s="3" t="s">
        <v>20</v>
      </c>
      <c r="D15">
        <f t="shared" ref="D15:M15" si="2">D14/C14</f>
        <v>0.90382060048671975</v>
      </c>
      <c r="E15">
        <f t="shared" si="2"/>
        <v>0.9868234853615695</v>
      </c>
      <c r="F15">
        <f t="shared" si="2"/>
        <v>0.91241951143300337</v>
      </c>
      <c r="G15">
        <f t="shared" si="2"/>
        <v>0.9544709580362275</v>
      </c>
      <c r="H15">
        <f t="shared" si="2"/>
        <v>0.9384918982297199</v>
      </c>
      <c r="I15">
        <f t="shared" si="2"/>
        <v>0.98315776538296118</v>
      </c>
      <c r="J15">
        <f t="shared" si="2"/>
        <v>0.78406360669397956</v>
      </c>
      <c r="K15">
        <f t="shared" si="2"/>
        <v>0.92419827654920161</v>
      </c>
      <c r="L15">
        <f t="shared" si="2"/>
        <v>0.95672422714989358</v>
      </c>
      <c r="M15">
        <f t="shared" si="2"/>
        <v>0.94272721809331117</v>
      </c>
      <c r="W15" s="15"/>
      <c r="X15" s="15"/>
      <c r="Y15" s="15"/>
      <c r="Z15" s="15"/>
      <c r="AA15" s="15"/>
      <c r="AB15" s="15"/>
      <c r="AC15" s="15"/>
      <c r="AD15" s="15"/>
    </row>
    <row r="16" spans="1:30" x14ac:dyDescent="0.45">
      <c r="A16" t="s">
        <v>119</v>
      </c>
      <c r="B16" t="s">
        <v>18</v>
      </c>
      <c r="C16">
        <v>0.74099999999999999</v>
      </c>
      <c r="D16">
        <v>0.69299999999999995</v>
      </c>
      <c r="E16">
        <v>0.67</v>
      </c>
      <c r="F16">
        <v>0.63400000000000001</v>
      </c>
      <c r="G16">
        <v>0.57799999999999996</v>
      </c>
      <c r="H16">
        <v>0.53700000000000003</v>
      </c>
      <c r="I16">
        <v>0.56599999999999995</v>
      </c>
      <c r="J16">
        <v>0.53600000000000003</v>
      </c>
      <c r="K16">
        <v>0.50700000000000001</v>
      </c>
      <c r="L16">
        <v>0.46100000000000002</v>
      </c>
      <c r="M16">
        <v>0.377</v>
      </c>
      <c r="N16">
        <v>0.26500000000000001</v>
      </c>
      <c r="O16">
        <v>0.29000000000000004</v>
      </c>
      <c r="P16">
        <v>0.30000000000000004</v>
      </c>
      <c r="Q16">
        <v>0.31000000000000005</v>
      </c>
      <c r="R16">
        <v>0.32000000000000006</v>
      </c>
      <c r="S16">
        <v>0.33000000000000007</v>
      </c>
      <c r="T16" s="5">
        <f>T17*S16</f>
        <v>0.34064516129032263</v>
      </c>
      <c r="U16" s="5">
        <f>U17*T16</f>
        <v>0.35163371488033301</v>
      </c>
      <c r="V16" s="5">
        <f>V17*U16</f>
        <v>0.36297673794098889</v>
      </c>
      <c r="W16" s="15"/>
      <c r="X16" s="15"/>
      <c r="Y16" s="15"/>
      <c r="Z16" s="15"/>
      <c r="AA16" s="15"/>
      <c r="AB16" s="15"/>
      <c r="AC16" s="15"/>
      <c r="AD16" s="15"/>
    </row>
    <row r="17" spans="1:30" x14ac:dyDescent="0.45">
      <c r="B17" s="3" t="s">
        <v>20</v>
      </c>
      <c r="D17">
        <f t="shared" ref="D17:N17" si="3">D16/C16</f>
        <v>0.93522267206477727</v>
      </c>
      <c r="E17">
        <f t="shared" si="3"/>
        <v>0.9668109668109669</v>
      </c>
      <c r="F17">
        <f t="shared" si="3"/>
        <v>0.94626865671641791</v>
      </c>
      <c r="G17">
        <f t="shared" si="3"/>
        <v>0.9116719242902207</v>
      </c>
      <c r="H17">
        <f t="shared" si="3"/>
        <v>0.92906574394463681</v>
      </c>
      <c r="I17">
        <f t="shared" si="3"/>
        <v>1.0540037243947857</v>
      </c>
      <c r="J17">
        <f t="shared" si="3"/>
        <v>0.94699646643109558</v>
      </c>
      <c r="K17">
        <f t="shared" si="3"/>
        <v>0.94589552238805963</v>
      </c>
      <c r="L17">
        <f t="shared" si="3"/>
        <v>0.90927021696252464</v>
      </c>
      <c r="M17">
        <f t="shared" si="3"/>
        <v>0.81778741865509763</v>
      </c>
      <c r="N17">
        <f t="shared" si="3"/>
        <v>0.70291777188328919</v>
      </c>
      <c r="O17" s="4">
        <f>O16/M16</f>
        <v>0.76923076923076927</v>
      </c>
      <c r="P17">
        <f>P16/O16</f>
        <v>1.0344827586206897</v>
      </c>
      <c r="Q17">
        <f>Q16/P16</f>
        <v>1.0333333333333334</v>
      </c>
      <c r="R17">
        <f>R16/Q16</f>
        <v>1.032258064516129</v>
      </c>
      <c r="S17">
        <f>S16/R16</f>
        <v>1.03125</v>
      </c>
      <c r="T17" s="5">
        <f>MEDIAN(Q17:S17)</f>
        <v>1.032258064516129</v>
      </c>
      <c r="U17" s="5">
        <f>T17</f>
        <v>1.032258064516129</v>
      </c>
      <c r="V17" s="5">
        <f>U17</f>
        <v>1.032258064516129</v>
      </c>
      <c r="W17" s="15"/>
      <c r="X17" s="15"/>
      <c r="Y17" s="15"/>
      <c r="Z17" s="15"/>
      <c r="AA17" s="15"/>
      <c r="AB17" s="15"/>
      <c r="AC17" s="15"/>
      <c r="AD17" s="15"/>
    </row>
    <row r="18" spans="1:30" x14ac:dyDescent="0.45">
      <c r="A18" t="s">
        <v>121</v>
      </c>
      <c r="B18" t="s">
        <v>19</v>
      </c>
      <c r="C18">
        <v>1729525.7080535549</v>
      </c>
      <c r="D18">
        <v>1782214.5498523924</v>
      </c>
      <c r="E18">
        <v>1837430.6550368499</v>
      </c>
      <c r="F18">
        <v>1893701.4081251801</v>
      </c>
      <c r="G18">
        <v>1948495.6343374075</v>
      </c>
      <c r="H18">
        <v>2003510.2889001751</v>
      </c>
      <c r="I18">
        <v>2059012.1006868749</v>
      </c>
      <c r="J18">
        <v>2117152.3864772976</v>
      </c>
      <c r="K18">
        <v>2176677.8534039124</v>
      </c>
      <c r="L18">
        <v>2233521.4655320225</v>
      </c>
      <c r="M18">
        <v>2288031.680475025</v>
      </c>
      <c r="N18">
        <v>2358174.8090827726</v>
      </c>
      <c r="O18">
        <v>2436792.25</v>
      </c>
      <c r="P18">
        <v>2513918.25</v>
      </c>
      <c r="Q18">
        <v>2584687.5</v>
      </c>
      <c r="R18">
        <v>2658749.25</v>
      </c>
      <c r="S18">
        <v>2729901.5</v>
      </c>
      <c r="T18">
        <v>2798461.25</v>
      </c>
      <c r="U18">
        <v>2849943</v>
      </c>
      <c r="V18">
        <v>2893948.5</v>
      </c>
      <c r="W18" s="15"/>
      <c r="X18" s="15"/>
      <c r="Y18" s="15"/>
      <c r="Z18" s="15"/>
      <c r="AA18" s="15"/>
      <c r="AB18" s="15"/>
      <c r="AC18" s="15"/>
      <c r="AD18" s="15"/>
    </row>
    <row r="19" spans="1:30" x14ac:dyDescent="0.45">
      <c r="B19" s="3" t="s">
        <v>20</v>
      </c>
      <c r="D19">
        <f t="shared" ref="D19:N19" si="4">D18/C18</f>
        <v>1.0304643299336294</v>
      </c>
      <c r="E19">
        <f t="shared" si="4"/>
        <v>1.0309817385280748</v>
      </c>
      <c r="F19">
        <f t="shared" si="4"/>
        <v>1.0306246948335591</v>
      </c>
      <c r="G19">
        <f t="shared" si="4"/>
        <v>1.0289349873095757</v>
      </c>
      <c r="H19">
        <f t="shared" si="4"/>
        <v>1.0282344253655336</v>
      </c>
      <c r="I19">
        <f t="shared" si="4"/>
        <v>1.0277022843826609</v>
      </c>
      <c r="J19">
        <f t="shared" si="4"/>
        <v>1.0282369811090608</v>
      </c>
      <c r="K19">
        <f t="shared" si="4"/>
        <v>1.0281158159926591</v>
      </c>
      <c r="L19">
        <f t="shared" si="4"/>
        <v>1.0261148483865987</v>
      </c>
      <c r="M19">
        <f t="shared" si="4"/>
        <v>1.0244055030516657</v>
      </c>
      <c r="N19">
        <f t="shared" si="4"/>
        <v>1.0306565373225887</v>
      </c>
      <c r="O19" s="4">
        <f>O18/M18</f>
        <v>1.065016831189195</v>
      </c>
      <c r="P19">
        <f>P18/O18</f>
        <v>1.0316506259407219</v>
      </c>
      <c r="Q19">
        <f t="shared" ref="Q19:V19" si="5">Q18/P18</f>
        <v>1.0281509750764568</v>
      </c>
      <c r="R19">
        <f t="shared" si="5"/>
        <v>1.0286540442509975</v>
      </c>
      <c r="S19">
        <f t="shared" si="5"/>
        <v>1.0267615496271414</v>
      </c>
      <c r="T19">
        <f t="shared" si="5"/>
        <v>1.0251143676795664</v>
      </c>
      <c r="U19">
        <f t="shared" si="5"/>
        <v>1.0183964491200299</v>
      </c>
      <c r="V19">
        <f t="shared" si="5"/>
        <v>1.0154408351324922</v>
      </c>
    </row>
    <row r="20" spans="1:30" x14ac:dyDescent="0.45">
      <c r="B20" t="s">
        <v>136</v>
      </c>
      <c r="D20">
        <f t="shared" ref="D20:M20" si="6">D15/D17/D19</f>
        <v>0.93785186453117741</v>
      </c>
      <c r="E20">
        <f t="shared" si="6"/>
        <v>0.99002676508442944</v>
      </c>
      <c r="F20">
        <f t="shared" si="6"/>
        <v>0.93557705929623514</v>
      </c>
      <c r="G20">
        <f t="shared" si="6"/>
        <v>1.0175041823293318</v>
      </c>
      <c r="H20">
        <f t="shared" si="6"/>
        <v>0.98240811348376522</v>
      </c>
      <c r="I20">
        <f t="shared" si="6"/>
        <v>0.90764024931238874</v>
      </c>
      <c r="J20">
        <f t="shared" si="6"/>
        <v>0.80521103500093183</v>
      </c>
      <c r="K20">
        <f t="shared" si="6"/>
        <v>0.95034204670213762</v>
      </c>
      <c r="L20">
        <f t="shared" si="6"/>
        <v>1.0254106732291881</v>
      </c>
      <c r="M20">
        <f t="shared" si="6"/>
        <v>1.1253139908974532</v>
      </c>
    </row>
    <row r="21" spans="1:30" x14ac:dyDescent="0.45">
      <c r="B21" s="3" t="s">
        <v>137</v>
      </c>
      <c r="G21">
        <f>MEDIAN($D20:F20)</f>
        <v>0.93785186453117741</v>
      </c>
      <c r="H21">
        <f>MEDIAN($D20:G20)</f>
        <v>0.96393931480780348</v>
      </c>
      <c r="I21">
        <f>MEDIAN($D20:H20)</f>
        <v>0.98240811348376522</v>
      </c>
      <c r="J21">
        <f>MEDIAN($D20:I20)</f>
        <v>0.96012998900747126</v>
      </c>
      <c r="K21">
        <f>MEDIAN($D20:J20)</f>
        <v>0.93785186453117741</v>
      </c>
      <c r="L21">
        <f>MEDIAN($D20:K20)</f>
        <v>0.94409695561665752</v>
      </c>
      <c r="M21">
        <f>MEDIAN($D20:L20)</f>
        <v>0.95034204670213762</v>
      </c>
      <c r="N21">
        <f>MEDIAN($D20:M20)</f>
        <v>0.96637508009295137</v>
      </c>
      <c r="O21">
        <f t="shared" ref="O21:V21" si="7">N21</f>
        <v>0.96637508009295137</v>
      </c>
      <c r="P21">
        <f>O21</f>
        <v>0.96637508009295137</v>
      </c>
      <c r="Q21">
        <f t="shared" si="7"/>
        <v>0.96637508009295137</v>
      </c>
      <c r="R21">
        <f t="shared" si="7"/>
        <v>0.96637508009295137</v>
      </c>
      <c r="S21">
        <f t="shared" si="7"/>
        <v>0.96637508009295137</v>
      </c>
      <c r="T21">
        <f t="shared" si="7"/>
        <v>0.96637508009295137</v>
      </c>
      <c r="U21">
        <f t="shared" si="7"/>
        <v>0.96637508009295137</v>
      </c>
      <c r="V21">
        <f t="shared" si="7"/>
        <v>0.96637508009295137</v>
      </c>
    </row>
    <row r="22" spans="1:30" x14ac:dyDescent="0.45">
      <c r="B22" s="3"/>
    </row>
    <row r="23" spans="1:30" x14ac:dyDescent="0.45">
      <c r="B23" t="s">
        <v>13</v>
      </c>
      <c r="C23">
        <v>2010</v>
      </c>
      <c r="D23">
        <v>2011</v>
      </c>
      <c r="E23">
        <v>2012</v>
      </c>
      <c r="F23">
        <v>2013</v>
      </c>
      <c r="G23">
        <f>F23+1</f>
        <v>2014</v>
      </c>
      <c r="H23">
        <f t="shared" ref="H23" si="8">G23+1</f>
        <v>2015</v>
      </c>
      <c r="I23">
        <f t="shared" ref="I23" si="9">H23+1</f>
        <v>2016</v>
      </c>
      <c r="J23">
        <f t="shared" ref="J23" si="10">I23+1</f>
        <v>2017</v>
      </c>
      <c r="K23">
        <f t="shared" ref="K23" si="11">J23+1</f>
        <v>2018</v>
      </c>
      <c r="L23">
        <f t="shared" ref="L23" si="12">K23+1</f>
        <v>2019</v>
      </c>
      <c r="M23">
        <f t="shared" ref="M23" si="13">L23+1</f>
        <v>2020</v>
      </c>
      <c r="N23">
        <f t="shared" ref="N23" si="14">M23+1</f>
        <v>2021</v>
      </c>
      <c r="O23">
        <f t="shared" ref="O23" si="15">N23+1</f>
        <v>2022</v>
      </c>
      <c r="P23">
        <f t="shared" ref="P23" si="16">O23+1</f>
        <v>2023</v>
      </c>
      <c r="Q23">
        <f t="shared" ref="Q23" si="17">P23+1</f>
        <v>2024</v>
      </c>
      <c r="R23">
        <f t="shared" ref="R23" si="18">Q23+1</f>
        <v>2025</v>
      </c>
      <c r="S23">
        <f t="shared" ref="S23" si="19">R23+1</f>
        <v>2026</v>
      </c>
      <c r="T23">
        <f t="shared" ref="T23" si="20">S23+1</f>
        <v>2027</v>
      </c>
      <c r="U23">
        <f t="shared" ref="U23" si="21">T23+1</f>
        <v>2028</v>
      </c>
      <c r="V23">
        <f t="shared" ref="V23" si="22">U23+1</f>
        <v>2029</v>
      </c>
    </row>
    <row r="24" spans="1:30" x14ac:dyDescent="0.45">
      <c r="A24" t="s">
        <v>121</v>
      </c>
      <c r="B24" t="s">
        <v>10</v>
      </c>
      <c r="C24">
        <v>320057.64367763448</v>
      </c>
      <c r="D24">
        <v>335928.07057014998</v>
      </c>
      <c r="E24">
        <v>352090.35247011349</v>
      </c>
      <c r="F24">
        <v>361114.76336657</v>
      </c>
      <c r="G24">
        <v>380164.75955732318</v>
      </c>
      <c r="H24">
        <v>400661.80804554146</v>
      </c>
      <c r="I24">
        <v>440475.57916016027</v>
      </c>
      <c r="J24">
        <v>493833.02854041301</v>
      </c>
      <c r="K24">
        <v>513904.15779530327</v>
      </c>
      <c r="L24">
        <v>519934.052588208</v>
      </c>
      <c r="M24">
        <v>550383.57827856496</v>
      </c>
      <c r="N24">
        <v>610983.62464290159</v>
      </c>
      <c r="O24">
        <v>637068.5</v>
      </c>
      <c r="P24">
        <v>653652.97500000009</v>
      </c>
      <c r="Q24">
        <v>668884.80000000005</v>
      </c>
      <c r="R24">
        <v>684779.7</v>
      </c>
      <c r="S24">
        <v>700311.15</v>
      </c>
      <c r="T24">
        <v>714693.02499999991</v>
      </c>
      <c r="U24">
        <v>719750.67500000005</v>
      </c>
      <c r="V24">
        <v>719075.97499999998</v>
      </c>
    </row>
    <row r="25" spans="1:30" x14ac:dyDescent="0.45">
      <c r="B25" t="s">
        <v>138</v>
      </c>
      <c r="C25">
        <f>'Model Inputs'!D37</f>
        <v>2.4795566450673941E-2</v>
      </c>
      <c r="D25">
        <f>'Model Inputs'!E37</f>
        <v>2.4826559490982787E-2</v>
      </c>
      <c r="E25">
        <f>'Model Inputs'!F37</f>
        <v>2.4836749195117042E-2</v>
      </c>
      <c r="F25">
        <f>'Model Inputs'!G37</f>
        <v>2.4626630321012824E-2</v>
      </c>
      <c r="G25">
        <f>'Model Inputs'!H37</f>
        <v>2.7289514031504595E-2</v>
      </c>
      <c r="H25">
        <f>'Model Inputs'!I37</f>
        <v>3.0660568667462224E-2</v>
      </c>
      <c r="I25">
        <f>'Model Inputs'!J37</f>
        <v>3.1877096993117991E-2</v>
      </c>
      <c r="J25">
        <f>'Model Inputs'!K37</f>
        <v>3.5876060526191432E-2</v>
      </c>
      <c r="K25">
        <f>'Model Inputs'!L37</f>
        <v>3.6907385597619746E-2</v>
      </c>
      <c r="L25">
        <f>'Model Inputs'!M37</f>
        <v>3.6979494151529291E-2</v>
      </c>
      <c r="M25">
        <f>'Model Inputs'!N37</f>
        <v>3.6926324117621201E-2</v>
      </c>
      <c r="N25">
        <f>'Model Inputs'!O37</f>
        <v>3.6802293373045421E-2</v>
      </c>
      <c r="O25">
        <f>'Model Inputs'!P37</f>
        <v>3.6922302233627483E-2</v>
      </c>
      <c r="P25">
        <f>'Model Inputs'!Q37</f>
        <v>3.6922302233627483E-2</v>
      </c>
      <c r="Q25">
        <f>'Model Inputs'!R37</f>
        <v>3.6922302233627483E-2</v>
      </c>
      <c r="R25">
        <f>'Model Inputs'!S37</f>
        <v>3.6922302233627483E-2</v>
      </c>
      <c r="S25">
        <f>'Model Inputs'!T37</f>
        <v>3.6922302233627483E-2</v>
      </c>
      <c r="T25">
        <f>'Model Inputs'!U37</f>
        <v>3.6922302233627483E-2</v>
      </c>
      <c r="U25">
        <f>'Model Inputs'!V37</f>
        <v>3.6922302233627483E-2</v>
      </c>
      <c r="V25">
        <f>'Model Inputs'!W37</f>
        <v>3.6922302233627483E-2</v>
      </c>
    </row>
    <row r="26" spans="1:30" x14ac:dyDescent="0.45">
      <c r="B26" t="s">
        <v>139</v>
      </c>
      <c r="C26">
        <f>'Model Inputs'!D47</f>
        <v>0.90145767735460547</v>
      </c>
      <c r="D26">
        <f>'Model Inputs'!E47</f>
        <v>0.90281836285240202</v>
      </c>
      <c r="E26">
        <f>'Model Inputs'!F47</f>
        <v>0.90268909352153059</v>
      </c>
      <c r="F26">
        <f>'Model Inputs'!G47</f>
        <v>0.90043723434755296</v>
      </c>
      <c r="G26">
        <f>'Model Inputs'!H47</f>
        <v>0.9016026616556837</v>
      </c>
      <c r="H26">
        <f>'Model Inputs'!I47</f>
        <v>0.90403789124300693</v>
      </c>
      <c r="I26">
        <f>'Model Inputs'!J47</f>
        <v>0.90366395667756638</v>
      </c>
      <c r="J26">
        <f>'Model Inputs'!K47</f>
        <v>0.90267857745990965</v>
      </c>
      <c r="K26">
        <f>'Model Inputs'!L47</f>
        <v>0.90188657079543155</v>
      </c>
      <c r="L26">
        <f>'Model Inputs'!M47</f>
        <v>0.90315831194793494</v>
      </c>
      <c r="M26">
        <f>'Model Inputs'!N47</f>
        <v>0.90291019361786296</v>
      </c>
      <c r="N26">
        <f>'Model Inputs'!O47</f>
        <v>0.90050350757011666</v>
      </c>
      <c r="O26">
        <f>'Model Inputs'!P47</f>
        <v>0.90230964860736518</v>
      </c>
      <c r="P26">
        <f>'Model Inputs'!Q47</f>
        <v>0.90230964860736518</v>
      </c>
      <c r="Q26">
        <f>'Model Inputs'!R47</f>
        <v>0.90230964860736518</v>
      </c>
      <c r="R26">
        <f>'Model Inputs'!S47</f>
        <v>0.90230964860736518</v>
      </c>
      <c r="S26">
        <f>'Model Inputs'!T47</f>
        <v>0.90230964860736518</v>
      </c>
      <c r="T26">
        <f>'Model Inputs'!U47</f>
        <v>0.90230964860736518</v>
      </c>
      <c r="U26">
        <f>'Model Inputs'!V47</f>
        <v>0.90230964860736518</v>
      </c>
      <c r="V26">
        <f>'Model Inputs'!W47</f>
        <v>0.90230964860736518</v>
      </c>
    </row>
    <row r="27" spans="1:30" x14ac:dyDescent="0.45">
      <c r="B27" t="s">
        <v>14</v>
      </c>
      <c r="C27">
        <f>C26*C25*C24</f>
        <v>7153.9776575659198</v>
      </c>
      <c r="D27">
        <f t="shared" ref="D27:V27" si="23">D26*D25*D24</f>
        <v>7529.449377925901</v>
      </c>
      <c r="E27">
        <f t="shared" si="23"/>
        <v>7893.8173311376031</v>
      </c>
      <c r="F27">
        <f t="shared" si="23"/>
        <v>8007.624145246049</v>
      </c>
      <c r="G27">
        <f t="shared" si="23"/>
        <v>9353.6872180427908</v>
      </c>
      <c r="H27">
        <f t="shared" si="23"/>
        <v>11105.670541410973</v>
      </c>
      <c r="I27">
        <f t="shared" si="23"/>
        <v>12688.420402928146</v>
      </c>
      <c r="J27">
        <f t="shared" si="23"/>
        <v>15992.561036844761</v>
      </c>
      <c r="K27">
        <f t="shared" si="23"/>
        <v>17105.955342878548</v>
      </c>
      <c r="L27">
        <f t="shared" si="23"/>
        <v>17364.932973666298</v>
      </c>
      <c r="M27">
        <f t="shared" si="23"/>
        <v>18350.423894883137</v>
      </c>
      <c r="N27">
        <f t="shared" si="23"/>
        <v>20248.360409325076</v>
      </c>
      <c r="O27">
        <f t="shared" si="23"/>
        <v>21224.159767469446</v>
      </c>
      <c r="P27">
        <f t="shared" si="23"/>
        <v>21776.677349267331</v>
      </c>
      <c r="Q27">
        <f t="shared" si="23"/>
        <v>22284.13092349072</v>
      </c>
      <c r="R27">
        <f t="shared" si="23"/>
        <v>22813.675073119761</v>
      </c>
      <c r="S27">
        <f t="shared" si="23"/>
        <v>23331.110758953331</v>
      </c>
      <c r="T27">
        <f t="shared" si="23"/>
        <v>23810.24795182313</v>
      </c>
      <c r="U27">
        <f t="shared" si="23"/>
        <v>23978.74532949593</v>
      </c>
      <c r="V27">
        <f t="shared" si="23"/>
        <v>23956.267463151711</v>
      </c>
    </row>
    <row r="28" spans="1:30" x14ac:dyDescent="0.45">
      <c r="B28" t="s">
        <v>17</v>
      </c>
      <c r="C28">
        <f t="shared" ref="C28:V28" si="24">C27*C14/1000000</f>
        <v>1437.4988085783232</v>
      </c>
      <c r="D28">
        <f t="shared" si="24"/>
        <v>1367.4308309745009</v>
      </c>
      <c r="E28">
        <f t="shared" si="24"/>
        <v>1414.714154451819</v>
      </c>
      <c r="F28">
        <f t="shared" si="24"/>
        <v>1309.4227154789246</v>
      </c>
      <c r="G28">
        <f t="shared" si="24"/>
        <v>1459.8954399304648</v>
      </c>
      <c r="H28">
        <f t="shared" si="24"/>
        <v>1626.7253038942551</v>
      </c>
      <c r="I28">
        <f t="shared" si="24"/>
        <v>1827.2594222256823</v>
      </c>
      <c r="J28">
        <f t="shared" si="24"/>
        <v>1805.7680443532527</v>
      </c>
      <c r="K28">
        <f t="shared" si="24"/>
        <v>1785.074863850748</v>
      </c>
      <c r="L28">
        <f t="shared" si="24"/>
        <v>1733.6801782248961</v>
      </c>
      <c r="M28">
        <f t="shared" si="24"/>
        <v>1727.1418969864008</v>
      </c>
      <c r="N28">
        <f t="shared" si="24"/>
        <v>1334.2462449062803</v>
      </c>
      <c r="O28">
        <f t="shared" si="24"/>
        <v>1581.5075368789901</v>
      </c>
      <c r="P28">
        <f t="shared" si="24"/>
        <v>1673.5319243017614</v>
      </c>
      <c r="Q28">
        <f t="shared" si="24"/>
        <v>1758.2520779068227</v>
      </c>
      <c r="R28">
        <f t="shared" si="24"/>
        <v>1847.0728912452498</v>
      </c>
      <c r="S28">
        <f t="shared" si="24"/>
        <v>1932.8737080684646</v>
      </c>
      <c r="T28">
        <f t="shared" si="24"/>
        <v>2017.1505291657354</v>
      </c>
      <c r="U28">
        <f t="shared" si="24"/>
        <v>2063.7245417854756</v>
      </c>
      <c r="V28">
        <f t="shared" si="24"/>
        <v>2088.4931625128615</v>
      </c>
    </row>
    <row r="30" spans="1:30" x14ac:dyDescent="0.45">
      <c r="A30" t="s">
        <v>16</v>
      </c>
      <c r="B30" t="s">
        <v>140</v>
      </c>
      <c r="C30">
        <v>2010</v>
      </c>
      <c r="D30">
        <v>2011</v>
      </c>
      <c r="E30">
        <v>2012</v>
      </c>
      <c r="F30">
        <v>2013</v>
      </c>
      <c r="G30">
        <f>F30+1</f>
        <v>2014</v>
      </c>
      <c r="H30">
        <f t="shared" ref="H30:V30" si="25">G30+1</f>
        <v>2015</v>
      </c>
      <c r="I30">
        <f t="shared" si="25"/>
        <v>2016</v>
      </c>
      <c r="J30">
        <f t="shared" si="25"/>
        <v>2017</v>
      </c>
      <c r="K30">
        <f t="shared" si="25"/>
        <v>2018</v>
      </c>
      <c r="L30">
        <f t="shared" si="25"/>
        <v>2019</v>
      </c>
      <c r="M30">
        <f t="shared" si="25"/>
        <v>2020</v>
      </c>
      <c r="N30">
        <f t="shared" si="25"/>
        <v>2021</v>
      </c>
      <c r="O30">
        <f t="shared" si="25"/>
        <v>2022</v>
      </c>
      <c r="P30">
        <f t="shared" si="25"/>
        <v>2023</v>
      </c>
      <c r="Q30">
        <f t="shared" si="25"/>
        <v>2024</v>
      </c>
      <c r="R30">
        <f t="shared" si="25"/>
        <v>2025</v>
      </c>
      <c r="S30">
        <f t="shared" si="25"/>
        <v>2026</v>
      </c>
      <c r="T30">
        <f t="shared" si="25"/>
        <v>2027</v>
      </c>
      <c r="U30">
        <f t="shared" si="25"/>
        <v>2028</v>
      </c>
      <c r="V30">
        <f t="shared" si="25"/>
        <v>2029</v>
      </c>
    </row>
    <row r="31" spans="1:30" x14ac:dyDescent="0.45">
      <c r="B31">
        <v>1</v>
      </c>
      <c r="C31">
        <f>C$28*'Model Inputs'!D50</f>
        <v>235.03704949308997</v>
      </c>
      <c r="D31">
        <f>D$28*'Model Inputs'!E50</f>
        <v>223.58344931021355</v>
      </c>
      <c r="E31">
        <f>E$28*'Model Inputs'!F50</f>
        <v>231.30731771027331</v>
      </c>
      <c r="F31">
        <f>F$28*'Model Inputs'!G50</f>
        <v>214.104564325686</v>
      </c>
      <c r="G31">
        <f>G$28*'Model Inputs'!H50</f>
        <v>238.69832186778055</v>
      </c>
      <c r="H31">
        <f>H$28*'Model Inputs'!I50</f>
        <v>265.96658276750742</v>
      </c>
      <c r="I31">
        <f>I$28*'Model Inputs'!J50</f>
        <v>298.76911001651177</v>
      </c>
      <c r="J31">
        <f>J$28*'Model Inputs'!K50</f>
        <v>295.26980163396524</v>
      </c>
      <c r="K31">
        <f>K$28*'Model Inputs'!L50</f>
        <v>291.88859695218036</v>
      </c>
      <c r="L31">
        <f>L$28*'Model Inputs'!M50</f>
        <v>283.4811448034211</v>
      </c>
      <c r="M31">
        <f>M$28*'Model Inputs'!N50</f>
        <v>282.42163127667715</v>
      </c>
      <c r="N31">
        <f>N$28*'Model Inputs'!O50</f>
        <v>218.18246377433303</v>
      </c>
      <c r="O31">
        <f>O$28*'Model Inputs'!P50</f>
        <v>258.60352486228169</v>
      </c>
      <c r="P31">
        <f>P$28*'Model Inputs'!Q50</f>
        <v>273.65108575331891</v>
      </c>
      <c r="Q31">
        <f>Q$28*'Model Inputs'!R50</f>
        <v>287.50427951828749</v>
      </c>
      <c r="R31">
        <f>R$28*'Model Inputs'!S50</f>
        <v>302.02800126784086</v>
      </c>
      <c r="S31">
        <f>S$28*'Model Inputs'!T50</f>
        <v>316.05790194750108</v>
      </c>
      <c r="T31">
        <f>T$28*'Model Inputs'!U50</f>
        <v>329.83860326679536</v>
      </c>
      <c r="U31">
        <f>U$28*'Model Inputs'!V50</f>
        <v>337.45425071050829</v>
      </c>
      <c r="V31">
        <f>V$28*'Model Inputs'!W50</f>
        <v>341.50434372411439</v>
      </c>
    </row>
    <row r="32" spans="1:30" x14ac:dyDescent="0.45">
      <c r="B32">
        <v>2</v>
      </c>
      <c r="D32">
        <f>C$28*'Model Inputs'!E51</f>
        <v>281.98915814489641</v>
      </c>
      <c r="E32">
        <f>D$28*'Model Inputs'!F51</f>
        <v>268.24753281279106</v>
      </c>
      <c r="F32">
        <f>E$28*'Model Inputs'!G51</f>
        <v>277.51435756426002</v>
      </c>
      <c r="G32">
        <f>F$28*'Model Inputs'!H51</f>
        <v>256.87510109317901</v>
      </c>
      <c r="H32">
        <f>G$28*'Model Inputs'!I51</f>
        <v>286.38182354341478</v>
      </c>
      <c r="I32">
        <f>H$28*'Model Inputs'!J51</f>
        <v>319.09732074597576</v>
      </c>
      <c r="J32">
        <f>I$28*'Model Inputs'!K51</f>
        <v>358.45263542475249</v>
      </c>
      <c r="K32">
        <f>J$28*'Model Inputs'!L51</f>
        <v>354.25428870872685</v>
      </c>
      <c r="L32">
        <f>K$28*'Model Inputs'!M51</f>
        <v>350.19763864530722</v>
      </c>
      <c r="M32">
        <f>L$28*'Model Inputs'!N51</f>
        <v>340.11067423401414</v>
      </c>
      <c r="N32">
        <f>M$28*'Model Inputs'!O51</f>
        <v>338.83950729206174</v>
      </c>
      <c r="O32">
        <f>N$28*'Model Inputs'!P51</f>
        <v>261.76762095336102</v>
      </c>
      <c r="P32">
        <f>O$28*'Model Inputs'!Q51</f>
        <v>310.26338369415896</v>
      </c>
      <c r="Q32">
        <f>P$28*'Model Inputs'!R51</f>
        <v>328.31691626253132</v>
      </c>
      <c r="R32">
        <f>Q$28*'Model Inputs'!S51</f>
        <v>344.93748929910896</v>
      </c>
      <c r="S32">
        <f>R$28*'Model Inputs'!T51</f>
        <v>362.36253815042932</v>
      </c>
      <c r="T32">
        <f>S$28*'Model Inputs'!U51</f>
        <v>379.1951179077335</v>
      </c>
      <c r="U32">
        <f>T$28*'Model Inputs'!V51</f>
        <v>395.72871706605815</v>
      </c>
      <c r="V32">
        <f>U$28*'Model Inputs'!W51</f>
        <v>404.86570213293408</v>
      </c>
    </row>
    <row r="33" spans="1:22" x14ac:dyDescent="0.45">
      <c r="B33">
        <v>3</v>
      </c>
      <c r="E33">
        <f>C$28*'Model Inputs'!F52</f>
        <v>260.61151787122418</v>
      </c>
      <c r="F33">
        <f>D$28*'Model Inputs'!G52</f>
        <v>247.91164721173777</v>
      </c>
      <c r="G33">
        <f>E$28*'Model Inputs'!H52</f>
        <v>256.47595259218087</v>
      </c>
      <c r="H33">
        <f>F$28*'Model Inputs'!I52</f>
        <v>237.40136124247354</v>
      </c>
      <c r="I33">
        <f>G$28*'Model Inputs'!J52</f>
        <v>264.67117464859598</v>
      </c>
      <c r="J33">
        <f>H$28*'Model Inputs'!K52</f>
        <v>294.90650511293325</v>
      </c>
      <c r="K33">
        <f>I$28*'Model Inputs'!L52</f>
        <v>331.27828749708266</v>
      </c>
      <c r="L33">
        <f>J$28*'Model Inputs'!M52</f>
        <v>327.39821807380747</v>
      </c>
      <c r="M33">
        <f>K$28*'Model Inputs'!N52</f>
        <v>323.64910325870187</v>
      </c>
      <c r="N33">
        <f>L$28*'Model Inputs'!O52</f>
        <v>314.32683312876543</v>
      </c>
      <c r="O33">
        <f>M$28*'Model Inputs'!P52</f>
        <v>313.15203354289014</v>
      </c>
      <c r="P33">
        <f>N$28*'Model Inputs'!Q52</f>
        <v>241.92297843997576</v>
      </c>
      <c r="Q33">
        <f>O$28*'Model Inputs'!R52</f>
        <v>286.74227015085762</v>
      </c>
      <c r="R33">
        <f>P$28*'Model Inputs'!S52</f>
        <v>303.4271617138287</v>
      </c>
      <c r="S33">
        <f>Q$28*'Model Inputs'!T52</f>
        <v>318.78772662152755</v>
      </c>
      <c r="T33">
        <f>R$28*'Model Inputs'!U52</f>
        <v>334.89177991207782</v>
      </c>
      <c r="U33">
        <f>S$28*'Model Inputs'!V52</f>
        <v>350.44827927928191</v>
      </c>
      <c r="V33">
        <f>T$28*'Model Inputs'!W52</f>
        <v>365.72846381145223</v>
      </c>
    </row>
    <row r="34" spans="1:22" x14ac:dyDescent="0.45">
      <c r="B34">
        <v>4</v>
      </c>
      <c r="F34">
        <f>C$28*'Model Inputs'!G53</f>
        <v>201.25777792582505</v>
      </c>
      <c r="G34">
        <f>D$28*'Model Inputs'!H53</f>
        <v>191.45027682321995</v>
      </c>
      <c r="H34">
        <f>E$28*'Model Inputs'!I53</f>
        <v>198.06407917710467</v>
      </c>
      <c r="I34">
        <f>F$28*'Model Inputs'!J53</f>
        <v>183.33368697785357</v>
      </c>
      <c r="J34">
        <f>G$28*'Model Inputs'!K53</f>
        <v>204.39285617880958</v>
      </c>
      <c r="K34">
        <f>H$28*'Model Inputs'!L53</f>
        <v>227.74215199585919</v>
      </c>
      <c r="L34">
        <f>I$28*'Model Inputs'!M53</f>
        <v>255.83033536407339</v>
      </c>
      <c r="M34">
        <f>J$28*'Model Inputs'!N53</f>
        <v>252.8339438127523</v>
      </c>
      <c r="N34">
        <f>K$28*'Model Inputs'!O53</f>
        <v>249.93868222554266</v>
      </c>
      <c r="O34">
        <f>L$28*'Model Inputs'!P53</f>
        <v>242.73954004295362</v>
      </c>
      <c r="P34">
        <f>M$28*'Model Inputs'!Q53</f>
        <v>241.83229865894745</v>
      </c>
      <c r="Q34">
        <f>N$28*'Model Inputs'!R53</f>
        <v>186.82551511052324</v>
      </c>
      <c r="R34">
        <f>O$28*'Model Inputs'!S53</f>
        <v>221.4373048411621</v>
      </c>
      <c r="S34">
        <f>P$28*'Model Inputs'!T53</f>
        <v>234.32224649042632</v>
      </c>
      <c r="T34">
        <f>Q$28*'Model Inputs'!U53</f>
        <v>246.18447417038806</v>
      </c>
      <c r="U34">
        <f>R$28*'Model Inputs'!V53</f>
        <v>258.62086227529414</v>
      </c>
      <c r="V34">
        <f>S$28*'Model Inputs'!W53</f>
        <v>270.63440074251974</v>
      </c>
    </row>
    <row r="35" spans="1:22" x14ac:dyDescent="0.45">
      <c r="B35">
        <v>5</v>
      </c>
      <c r="G35">
        <f>C$28*'Model Inputs'!H54</f>
        <v>146.12996677649642</v>
      </c>
      <c r="H35">
        <f>D$28*'Model Inputs'!I54</f>
        <v>139.00890131977485</v>
      </c>
      <c r="I35">
        <f>E$28*'Model Inputs'!J54</f>
        <v>143.8110745734003</v>
      </c>
      <c r="J35">
        <f>F$28*'Model Inputs'!K54</f>
        <v>133.1155787527386</v>
      </c>
      <c r="K35">
        <f>G$28*'Model Inputs'!L54</f>
        <v>148.40629560051431</v>
      </c>
      <c r="L35">
        <f>H$28*'Model Inputs'!M54</f>
        <v>165.3598357675809</v>
      </c>
      <c r="M35">
        <f>I$28*'Model Inputs'!N54</f>
        <v>185.75420434657829</v>
      </c>
      <c r="N35">
        <f>J$28*'Model Inputs'!O54</f>
        <v>183.57857365862893</v>
      </c>
      <c r="O35">
        <f>K$28*'Model Inputs'!P54</f>
        <v>181.4763717765027</v>
      </c>
      <c r="P35">
        <f>L$28*'Model Inputs'!Q54</f>
        <v>176.2491928878004</v>
      </c>
      <c r="Q35">
        <f>M$28*'Model Inputs'!R54</f>
        <v>175.59045982083813</v>
      </c>
      <c r="R35">
        <f>N$28*'Model Inputs'!S54</f>
        <v>135.65093780457269</v>
      </c>
      <c r="S35">
        <f>O$28*'Model Inputs'!T54</f>
        <v>160.78198980931771</v>
      </c>
      <c r="T35">
        <f>P$28*'Model Inputs'!U54</f>
        <v>170.137534298227</v>
      </c>
      <c r="U35">
        <f>Q$28*'Model Inputs'!V54</f>
        <v>178.75050297269436</v>
      </c>
      <c r="V35">
        <f>R$28*'Model Inputs'!W54</f>
        <v>187.78036010079668</v>
      </c>
    </row>
    <row r="36" spans="1:22" x14ac:dyDescent="0.45">
      <c r="B36">
        <v>6</v>
      </c>
      <c r="H36">
        <f>C$28*'Model Inputs'!I55</f>
        <v>99.223623101780859</v>
      </c>
      <c r="I36">
        <f>D$28*'Model Inputs'!J55</f>
        <v>94.388352619296214</v>
      </c>
      <c r="J36">
        <f>E$28*'Model Inputs'!K55</f>
        <v>97.64907346593796</v>
      </c>
      <c r="K36">
        <f>F$28*'Model Inputs'!L55</f>
        <v>90.38673111682094</v>
      </c>
      <c r="L36">
        <f>G$28*'Model Inputs'!M55</f>
        <v>100.76927180254</v>
      </c>
      <c r="M36">
        <f>H$28*'Model Inputs'!N55</f>
        <v>112.28088517579702</v>
      </c>
      <c r="N36">
        <f>I$28*'Model Inputs'!O55</f>
        <v>126.12885343254965</v>
      </c>
      <c r="O36">
        <f>J$28*'Model Inputs'!P55</f>
        <v>124.65157971414847</v>
      </c>
      <c r="P36">
        <f>K$28*'Model Inputs'!Q55</f>
        <v>123.22416484615648</v>
      </c>
      <c r="Q36">
        <f>L$28*'Model Inputs'!R55</f>
        <v>119.67486117231476</v>
      </c>
      <c r="R36">
        <f>M$28*'Model Inputs'!S55</f>
        <v>119.2275752185657</v>
      </c>
      <c r="S36">
        <f>N$28*'Model Inputs'!T55</f>
        <v>92.108263780765526</v>
      </c>
      <c r="T36">
        <f>O$28*'Model Inputs'!U55</f>
        <v>109.17248467451273</v>
      </c>
      <c r="U36">
        <f>P$28*'Model Inputs'!V55</f>
        <v>115.52498745513186</v>
      </c>
      <c r="V36">
        <f>Q$28*'Model Inputs'!W55</f>
        <v>121.37327426717165</v>
      </c>
    </row>
    <row r="37" spans="1:22" x14ac:dyDescent="0.45">
      <c r="B37">
        <v>7</v>
      </c>
      <c r="I37">
        <f>C$28*'Model Inputs'!J56</f>
        <v>66.447423375598945</v>
      </c>
      <c r="J37">
        <f>D$28*'Model Inputs'!K56</f>
        <v>63.209371237998404</v>
      </c>
      <c r="K37">
        <f>E$28*'Model Inputs'!L56</f>
        <v>65.392989330478187</v>
      </c>
      <c r="L37">
        <f>F$28*'Model Inputs'!M56</f>
        <v>60.529591666846038</v>
      </c>
      <c r="M37">
        <f>G$28*'Model Inputs'!N56</f>
        <v>67.482503232579532</v>
      </c>
      <c r="N37">
        <f>H$28*'Model Inputs'!O56</f>
        <v>75.191524770367835</v>
      </c>
      <c r="O37">
        <f>I$28*'Model Inputs'!P56</f>
        <v>84.465141081520059</v>
      </c>
      <c r="P37">
        <f>J$28*'Model Inputs'!Q56</f>
        <v>83.475850133057548</v>
      </c>
      <c r="Q37">
        <f>K$28*'Model Inputs'!R56</f>
        <v>82.519948331640805</v>
      </c>
      <c r="R37">
        <f>L$28*'Model Inputs'!S56</f>
        <v>80.1430739893039</v>
      </c>
      <c r="S37">
        <f>M$28*'Model Inputs'!T56</f>
        <v>79.843538473369023</v>
      </c>
      <c r="T37">
        <f>N$28*'Model Inputs'!U56</f>
        <v>61.68245633959345</v>
      </c>
      <c r="U37">
        <f>O$28*'Model Inputs'!V56</f>
        <v>73.109911565033713</v>
      </c>
      <c r="V37">
        <f>P$28*'Model Inputs'!W56</f>
        <v>77.364013849985398</v>
      </c>
    </row>
    <row r="38" spans="1:22" x14ac:dyDescent="0.45">
      <c r="B38">
        <v>8</v>
      </c>
      <c r="J38">
        <f>C$28*'Model Inputs'!K57</f>
        <v>47.185455972641094</v>
      </c>
      <c r="K38">
        <f>D$28*'Model Inputs'!L57</f>
        <v>44.886059565466418</v>
      </c>
      <c r="L38">
        <f>E$28*'Model Inputs'!M57</f>
        <v>46.436684256831114</v>
      </c>
      <c r="M38">
        <f>F$28*'Model Inputs'!N57</f>
        <v>42.983102091009599</v>
      </c>
      <c r="N38">
        <f>G$28*'Model Inputs'!O57</f>
        <v>47.92048394721958</v>
      </c>
      <c r="O38">
        <f>H$28*'Model Inputs'!P57</f>
        <v>53.394792473937109</v>
      </c>
      <c r="P38">
        <f>I$28*'Model Inputs'!Q57</f>
        <v>59.980146606987361</v>
      </c>
      <c r="Q38">
        <f>J$28*'Model Inputs'!R57</f>
        <v>59.277634122358002</v>
      </c>
      <c r="R38">
        <f>K$28*'Model Inputs'!S57</f>
        <v>58.598831844202529</v>
      </c>
      <c r="S38">
        <f>L$28*'Model Inputs'!T57</f>
        <v>56.910972572385774</v>
      </c>
      <c r="T38">
        <f>M$28*'Model Inputs'!U57</f>
        <v>56.698267260706558</v>
      </c>
      <c r="U38">
        <f>N$28*'Model Inputs'!V57</f>
        <v>43.801771085153213</v>
      </c>
      <c r="V38">
        <f>O$28*'Model Inputs'!W57</f>
        <v>51.916603203946096</v>
      </c>
    </row>
    <row r="39" spans="1:22" x14ac:dyDescent="0.45">
      <c r="B39">
        <v>9</v>
      </c>
      <c r="K39">
        <f>C$28*'Model Inputs'!L58</f>
        <v>30.768022463979435</v>
      </c>
      <c r="L39">
        <f>D$28*'Model Inputs'!M58</f>
        <v>29.268664688342707</v>
      </c>
      <c r="M39">
        <f>E$28*'Model Inputs'!N58</f>
        <v>30.279774030271561</v>
      </c>
      <c r="N39">
        <f>F$28*'Model Inputs'!O58</f>
        <v>28.027811185601657</v>
      </c>
      <c r="O39">
        <f>G$28*'Model Inputs'!P58</f>
        <v>31.247309073959361</v>
      </c>
      <c r="P39">
        <f>H$28*'Model Inputs'!Q58</f>
        <v>34.816918485436908</v>
      </c>
      <c r="Q39">
        <f>I$28*'Model Inputs'!R58</f>
        <v>39.111002747681432</v>
      </c>
      <c r="R39">
        <f>J$28*'Model Inputs'!S58</f>
        <v>38.652918376920347</v>
      </c>
      <c r="S39">
        <f>K$28*'Model Inputs'!T58</f>
        <v>38.210294621096146</v>
      </c>
      <c r="T39">
        <f>L$28*'Model Inputs'!U58</f>
        <v>37.109699301610313</v>
      </c>
      <c r="U39">
        <f>M$28*'Model Inputs'!V58</f>
        <v>36.971001440732401</v>
      </c>
      <c r="V39">
        <f>N$28*'Model Inputs'!W58</f>
        <v>28.561637244567354</v>
      </c>
    </row>
    <row r="40" spans="1:22" x14ac:dyDescent="0.45">
      <c r="B40">
        <v>10</v>
      </c>
      <c r="L40" s="16">
        <f>C$28*'Model Inputs'!M59</f>
        <v>19.855670747694884</v>
      </c>
      <c r="M40">
        <f>D$28*'Model Inputs'!N59</f>
        <v>18.888083235013749</v>
      </c>
      <c r="N40">
        <f>E$28*'Model Inputs'!O59</f>
        <v>19.540587119745418</v>
      </c>
      <c r="O40">
        <f>F$28*'Model Inputs'!P59</f>
        <v>18.087317484618378</v>
      </c>
      <c r="P40">
        <f>G$28*'Model Inputs'!Q59</f>
        <v>20.164971000341328</v>
      </c>
      <c r="Q40">
        <f>H$28*'Model Inputs'!R59</f>
        <v>22.468563610335934</v>
      </c>
      <c r="R40">
        <f>I$28*'Model Inputs'!S59</f>
        <v>25.239684938455181</v>
      </c>
      <c r="S40">
        <f>J$28*'Model Inputs'!T59</f>
        <v>24.94406722525488</v>
      </c>
      <c r="T40">
        <f>K$28*'Model Inputs'!U59</f>
        <v>24.658426782452864</v>
      </c>
      <c r="U40">
        <f>L$28*'Model Inputs'!V59</f>
        <v>23.948174496471584</v>
      </c>
      <c r="V40">
        <f>M$28*'Model Inputs'!W59</f>
        <v>23.858667962139535</v>
      </c>
    </row>
    <row r="41" spans="1:22" x14ac:dyDescent="0.45">
      <c r="B41">
        <v>11</v>
      </c>
      <c r="M41">
        <f>C$28*'Model Inputs'!N60</f>
        <v>13.047608630677448</v>
      </c>
      <c r="N41">
        <f>D$28*'Model Inputs'!O60</f>
        <v>12.409656329468303</v>
      </c>
      <c r="O41">
        <f>E$28*'Model Inputs'!P60</f>
        <v>12.843856602712997</v>
      </c>
      <c r="P41">
        <f>F$28*'Model Inputs'!Q60</f>
        <v>11.879143673935967</v>
      </c>
      <c r="Q41">
        <f>G$28*'Model Inputs'!R60</f>
        <v>13.251365209382376</v>
      </c>
      <c r="R41">
        <f>H$28*'Model Inputs'!S60</f>
        <v>14.772023918940125</v>
      </c>
      <c r="S41">
        <f>I$28*'Model Inputs'!T60</f>
        <v>16.58209536735767</v>
      </c>
      <c r="T41">
        <f>J$28*'Model Inputs'!U60</f>
        <v>16.376747155962637</v>
      </c>
      <c r="U41">
        <f>K$28*'Model Inputs'!V60</f>
        <v>16.187364968203127</v>
      </c>
      <c r="V41">
        <f>L$28*'Model Inputs'!W60</f>
        <v>15.723833207198208</v>
      </c>
    </row>
    <row r="42" spans="1:22" x14ac:dyDescent="0.45">
      <c r="B42">
        <v>12</v>
      </c>
      <c r="N42">
        <f>C$28*'Model Inputs'!O61</f>
        <v>8.3576923260193574</v>
      </c>
      <c r="O42">
        <f>D$28*'Model Inputs'!P61</f>
        <v>7.946953728523555</v>
      </c>
      <c r="P42">
        <f>E$28*'Model Inputs'!Q61</f>
        <v>8.2304240074665369</v>
      </c>
      <c r="Q42">
        <f>F$28*'Model Inputs'!R61</f>
        <v>7.6028868909943208</v>
      </c>
      <c r="R42">
        <f>G$28*'Model Inputs'!S61</f>
        <v>8.4887099167326436</v>
      </c>
      <c r="S42">
        <f>H$28*'Model Inputs'!T61</f>
        <v>9.4695829094593851</v>
      </c>
      <c r="T42">
        <f>I$28*'Model Inputs'!U61</f>
        <v>10.618303562167421</v>
      </c>
      <c r="U42">
        <f>J$28*'Model Inputs'!V61</f>
        <v>10.475846636801281</v>
      </c>
      <c r="V42">
        <f>K$28*'Model Inputs'!W61</f>
        <v>10.352881669610897</v>
      </c>
    </row>
    <row r="43" spans="1:22" x14ac:dyDescent="0.45">
      <c r="B43">
        <v>13</v>
      </c>
      <c r="O43">
        <f>C$28*'Model Inputs'!P62</f>
        <v>5.6227552751192773</v>
      </c>
      <c r="P43">
        <f>D$28*'Model Inputs'!Q62</f>
        <v>5.3464112742725343</v>
      </c>
      <c r="Q43">
        <f>E$28*'Model Inputs'!R62</f>
        <v>5.537155124867235</v>
      </c>
      <c r="R43">
        <f>F$28*'Model Inputs'!S62</f>
        <v>5.114907467156395</v>
      </c>
      <c r="S43">
        <f>G$28*'Model Inputs'!T62</f>
        <v>5.710902506482106</v>
      </c>
      <c r="T43">
        <f>H$28*'Model Inputs'!U62</f>
        <v>6.3708435393930332</v>
      </c>
      <c r="U43">
        <f>I$28*'Model Inputs'!V62</f>
        <v>7.1435908044012058</v>
      </c>
      <c r="V43">
        <f>J$28*'Model Inputs'!W62</f>
        <v>7.0476788858048716</v>
      </c>
    </row>
    <row r="44" spans="1:22" x14ac:dyDescent="0.45">
      <c r="B44">
        <v>14</v>
      </c>
      <c r="P44">
        <f>C$28*'Model Inputs'!Q63</f>
        <v>4.8504366442451898</v>
      </c>
      <c r="Q44">
        <f>D$28*'Model Inputs'!R63</f>
        <v>4.6120422253678335</v>
      </c>
      <c r="R44">
        <f>E$28*'Model Inputs'!S63</f>
        <v>4.7766064105262291</v>
      </c>
      <c r="S44">
        <f>F$28*'Model Inputs'!T63</f>
        <v>4.4123208368059457</v>
      </c>
      <c r="T44">
        <f>G$28*'Model Inputs'!U63</f>
        <v>4.9264782192894945</v>
      </c>
      <c r="U44">
        <f>H$28*'Model Inputs'!V63</f>
        <v>5.4957981150723807</v>
      </c>
      <c r="V44">
        <f>I$28*'Model Inputs'!W63</f>
        <v>6.1623635600652715</v>
      </c>
    </row>
    <row r="45" spans="1:22" x14ac:dyDescent="0.45">
      <c r="B45">
        <v>15</v>
      </c>
      <c r="Q45">
        <f>C$28*'Model Inputs'!R64</f>
        <v>4.867161761898358</v>
      </c>
      <c r="R45">
        <f>D$28*'Model Inputs'!S64</f>
        <v>4.6279390141654657</v>
      </c>
      <c r="S45">
        <f>E$28*'Model Inputs'!T64</f>
        <v>4.793086712919588</v>
      </c>
      <c r="T45">
        <f>F$28*'Model Inputs'!U64</f>
        <v>4.4275161830618952</v>
      </c>
      <c r="U45">
        <f>G$28*'Model Inputs'!V64</f>
        <v>4.943467046860583</v>
      </c>
      <c r="V45">
        <f>H$28*'Model Inputs'!W64</f>
        <v>5.5147705372939742</v>
      </c>
    </row>
    <row r="46" spans="1:22" x14ac:dyDescent="0.45">
      <c r="B46" t="s">
        <v>141</v>
      </c>
      <c r="R46">
        <f>C$28*'Model Inputs'!S65</f>
        <v>8.1789350141009365</v>
      </c>
      <c r="S46">
        <f>D$28*'Model Inputs'!T65</f>
        <v>7.7769121107412653</v>
      </c>
      <c r="T46">
        <f>E$28*'Model Inputs'!U65</f>
        <v>8.0544961183874815</v>
      </c>
      <c r="U46">
        <f>F$28*'Model Inputs'!V65</f>
        <v>7.4400638810548703</v>
      </c>
      <c r="V46">
        <f>G$28*'Model Inputs'!W65</f>
        <v>8.3071669119613958</v>
      </c>
    </row>
    <row r="47" spans="1:22" x14ac:dyDescent="0.45">
      <c r="A47" s="6"/>
      <c r="B47" s="6" t="s">
        <v>21</v>
      </c>
      <c r="C47" s="6">
        <f t="shared" ref="C47:U47" si="26">SUM(C31:C46)</f>
        <v>235.03704949308997</v>
      </c>
      <c r="D47" s="6">
        <f t="shared" si="26"/>
        <v>505.57260745510996</v>
      </c>
      <c r="E47" s="6">
        <f t="shared" si="26"/>
        <v>760.16636839428861</v>
      </c>
      <c r="F47" s="6">
        <f t="shared" si="26"/>
        <v>940.78834702750885</v>
      </c>
      <c r="G47" s="6">
        <f t="shared" si="26"/>
        <v>1089.6296191528568</v>
      </c>
      <c r="H47" s="6">
        <f t="shared" si="26"/>
        <v>1226.0463711520561</v>
      </c>
      <c r="I47" s="6">
        <f t="shared" si="26"/>
        <v>1370.5181429572324</v>
      </c>
      <c r="J47" s="6">
        <f t="shared" si="26"/>
        <v>1494.1812777797768</v>
      </c>
      <c r="K47" s="6">
        <f t="shared" si="26"/>
        <v>1585.0034232311084</v>
      </c>
      <c r="L47" s="6">
        <f t="shared" si="26"/>
        <v>1639.1270558164449</v>
      </c>
      <c r="M47" s="6">
        <f t="shared" si="26"/>
        <v>1669.7315133240725</v>
      </c>
      <c r="N47" s="6">
        <f t="shared" si="26"/>
        <v>1622.4426691903036</v>
      </c>
      <c r="O47" s="6">
        <f t="shared" si="26"/>
        <v>1595.9987966125282</v>
      </c>
      <c r="P47" s="6">
        <f>SUM(P31:P46)</f>
        <v>1595.8874061061015</v>
      </c>
      <c r="Q47" s="6">
        <f t="shared" si="26"/>
        <v>1623.9020620598785</v>
      </c>
      <c r="R47" s="6">
        <f t="shared" si="26"/>
        <v>1675.3021010355831</v>
      </c>
      <c r="S47" s="6">
        <f t="shared" si="26"/>
        <v>1733.0744401358397</v>
      </c>
      <c r="T47" s="6">
        <f t="shared" si="26"/>
        <v>1800.3432286923601</v>
      </c>
      <c r="U47" s="6">
        <f t="shared" si="26"/>
        <v>1866.0445897987529</v>
      </c>
      <c r="V47" s="6">
        <f>SUM(V31:V46)</f>
        <v>1926.696161811562</v>
      </c>
    </row>
    <row r="48" spans="1:22" x14ac:dyDescent="0.45">
      <c r="B48" s="9" t="s">
        <v>142</v>
      </c>
    </row>
    <row r="49" spans="1:22" x14ac:dyDescent="0.45">
      <c r="A49" t="s">
        <v>119</v>
      </c>
      <c r="B49" s="9" t="s">
        <v>23</v>
      </c>
      <c r="H49">
        <v>1592</v>
      </c>
      <c r="I49">
        <v>1505</v>
      </c>
      <c r="J49">
        <v>1557</v>
      </c>
      <c r="K49">
        <v>1426</v>
      </c>
      <c r="L49">
        <v>1429</v>
      </c>
      <c r="M49">
        <v>1372</v>
      </c>
      <c r="N49">
        <v>1407.3071026086268</v>
      </c>
      <c r="O49">
        <v>1475.7896540991208</v>
      </c>
      <c r="P49">
        <v>1578.6446874294891</v>
      </c>
      <c r="Q49">
        <v>1652.923983636349</v>
      </c>
      <c r="R49">
        <v>1719.1233323618239</v>
      </c>
      <c r="S49">
        <v>1764.0180514162278</v>
      </c>
      <c r="T49">
        <v>1833.291642906227</v>
      </c>
      <c r="U49">
        <v>1897.7995296097879</v>
      </c>
      <c r="V49">
        <v>1928.2461885989121</v>
      </c>
    </row>
    <row r="50" spans="1:22" x14ac:dyDescent="0.45">
      <c r="B50" s="9" t="s">
        <v>134</v>
      </c>
      <c r="L50" s="19">
        <f t="shared" ref="L50:V50" si="27">ABS(L49-L47)/L49</f>
        <v>0.14704482562382429</v>
      </c>
      <c r="M50" s="19">
        <f t="shared" si="27"/>
        <v>0.21700547618372629</v>
      </c>
      <c r="N50" s="19">
        <f t="shared" si="27"/>
        <v>0.15287037646786195</v>
      </c>
      <c r="O50" s="19">
        <f t="shared" si="27"/>
        <v>8.1454116567030513E-2</v>
      </c>
      <c r="P50" s="19">
        <f t="shared" si="27"/>
        <v>1.0922482312779813E-2</v>
      </c>
      <c r="Q50" s="19">
        <f t="shared" si="27"/>
        <v>1.755792877578299E-2</v>
      </c>
      <c r="R50" s="19">
        <f t="shared" si="27"/>
        <v>2.5490452314457811E-2</v>
      </c>
      <c r="S50" s="19">
        <f t="shared" si="27"/>
        <v>1.7541550244083506E-2</v>
      </c>
      <c r="T50" s="19">
        <f t="shared" si="27"/>
        <v>1.7972270992102191E-2</v>
      </c>
      <c r="U50" s="19">
        <f t="shared" si="27"/>
        <v>1.6732504838150229E-2</v>
      </c>
      <c r="V50" s="19">
        <f t="shared" si="27"/>
        <v>8.0385315760764101E-4</v>
      </c>
    </row>
    <row r="52" spans="1:22" x14ac:dyDescent="0.45">
      <c r="B52" s="6" t="s">
        <v>24</v>
      </c>
      <c r="C52">
        <v>2010</v>
      </c>
      <c r="D52">
        <v>2011</v>
      </c>
      <c r="E52">
        <v>2012</v>
      </c>
      <c r="F52">
        <v>2013</v>
      </c>
      <c r="G52">
        <f>F52+1</f>
        <v>2014</v>
      </c>
      <c r="H52">
        <f t="shared" ref="H52" si="28">G52+1</f>
        <v>2015</v>
      </c>
      <c r="I52">
        <f t="shared" ref="I52" si="29">H52+1</f>
        <v>2016</v>
      </c>
      <c r="J52">
        <f t="shared" ref="J52" si="30">I52+1</f>
        <v>2017</v>
      </c>
      <c r="K52">
        <f t="shared" ref="K52" si="31">J52+1</f>
        <v>2018</v>
      </c>
      <c r="L52">
        <f t="shared" ref="L52" si="32">K52+1</f>
        <v>2019</v>
      </c>
      <c r="M52">
        <f t="shared" ref="M52" si="33">L52+1</f>
        <v>2020</v>
      </c>
      <c r="N52">
        <f t="shared" ref="N52" si="34">M52+1</f>
        <v>2021</v>
      </c>
      <c r="O52">
        <f t="shared" ref="O52" si="35">N52+1</f>
        <v>2022</v>
      </c>
      <c r="P52">
        <f t="shared" ref="P52" si="36">O52+1</f>
        <v>2023</v>
      </c>
      <c r="Q52">
        <f t="shared" ref="Q52" si="37">P52+1</f>
        <v>2024</v>
      </c>
      <c r="R52">
        <f t="shared" ref="R52" si="38">Q52+1</f>
        <v>2025</v>
      </c>
      <c r="S52">
        <f t="shared" ref="S52" si="39">R52+1</f>
        <v>2026</v>
      </c>
      <c r="T52">
        <f t="shared" ref="T52" si="40">S52+1</f>
        <v>2027</v>
      </c>
      <c r="U52">
        <f t="shared" ref="U52" si="41">T52+1</f>
        <v>2028</v>
      </c>
      <c r="V52">
        <f t="shared" ref="V52" si="42">U52+1</f>
        <v>2029</v>
      </c>
    </row>
    <row r="53" spans="1:22" x14ac:dyDescent="0.45">
      <c r="A53" t="s">
        <v>122</v>
      </c>
      <c r="B53" t="s">
        <v>90</v>
      </c>
      <c r="G53">
        <v>2.5</v>
      </c>
      <c r="H53">
        <v>2.5</v>
      </c>
      <c r="I53">
        <v>2.4</v>
      </c>
      <c r="J53">
        <v>2.5</v>
      </c>
      <c r="K53">
        <v>2.5</v>
      </c>
      <c r="L53">
        <v>2.2999999999999998</v>
      </c>
      <c r="M53">
        <v>1.5</v>
      </c>
    </row>
    <row r="54" spans="1:22" x14ac:dyDescent="0.45">
      <c r="A54" t="s">
        <v>121</v>
      </c>
      <c r="B54" t="s">
        <v>143</v>
      </c>
      <c r="D54">
        <v>3.145</v>
      </c>
      <c r="E54">
        <v>2.4225000000000003</v>
      </c>
      <c r="F54">
        <v>2.9349999999999996</v>
      </c>
      <c r="G54">
        <v>2.71</v>
      </c>
      <c r="H54">
        <v>2.1799999999999997</v>
      </c>
      <c r="I54">
        <v>1.9349999999999998</v>
      </c>
      <c r="J54">
        <v>2.2575000000000003</v>
      </c>
      <c r="K54">
        <v>2.2450000000000001</v>
      </c>
      <c r="L54">
        <v>1.7025000000000001</v>
      </c>
      <c r="M54">
        <v>1.1825000000000001</v>
      </c>
      <c r="N54">
        <v>1.94865003099814</v>
      </c>
      <c r="O54">
        <v>2.1991938546187226</v>
      </c>
      <c r="P54">
        <v>2.5105438236205826</v>
      </c>
      <c r="Q54">
        <v>2.8218937926224426</v>
      </c>
      <c r="R54">
        <v>3.1332437616243025</v>
      </c>
      <c r="S54">
        <v>3.25</v>
      </c>
      <c r="T54">
        <v>3.25</v>
      </c>
      <c r="U54">
        <v>3.25</v>
      </c>
      <c r="V54">
        <v>3.25</v>
      </c>
    </row>
    <row r="55" spans="1:22" x14ac:dyDescent="0.45">
      <c r="B55" t="s">
        <v>144</v>
      </c>
      <c r="G55">
        <f t="shared" ref="G55:M55" si="43">G53-G54</f>
        <v>-0.20999999999999996</v>
      </c>
      <c r="H55">
        <f t="shared" si="43"/>
        <v>0.32000000000000028</v>
      </c>
      <c r="I55">
        <f t="shared" si="43"/>
        <v>0.46500000000000008</v>
      </c>
      <c r="J55">
        <f t="shared" si="43"/>
        <v>0.24249999999999972</v>
      </c>
      <c r="K55">
        <f t="shared" si="43"/>
        <v>0.25499999999999989</v>
      </c>
      <c r="L55">
        <f t="shared" si="43"/>
        <v>0.5974999999999997</v>
      </c>
      <c r="M55">
        <f t="shared" si="43"/>
        <v>0.31749999999999989</v>
      </c>
    </row>
    <row r="56" spans="1:22" x14ac:dyDescent="0.45">
      <c r="B56" t="s">
        <v>91</v>
      </c>
      <c r="D56" s="5">
        <f t="shared" ref="D56:V56" si="44">D54+MEDIAN($G$55:$M$55)</f>
        <v>3.4624999999999999</v>
      </c>
      <c r="E56" s="5">
        <f t="shared" si="44"/>
        <v>2.74</v>
      </c>
      <c r="F56" s="5">
        <f t="shared" si="44"/>
        <v>3.2524999999999995</v>
      </c>
      <c r="G56">
        <f t="shared" si="44"/>
        <v>3.0274999999999999</v>
      </c>
      <c r="H56">
        <f t="shared" si="44"/>
        <v>2.4974999999999996</v>
      </c>
      <c r="I56">
        <f t="shared" si="44"/>
        <v>2.2524999999999995</v>
      </c>
      <c r="J56">
        <f t="shared" si="44"/>
        <v>2.5750000000000002</v>
      </c>
      <c r="K56">
        <f t="shared" si="44"/>
        <v>2.5625</v>
      </c>
      <c r="L56">
        <f t="shared" si="44"/>
        <v>2.02</v>
      </c>
      <c r="M56">
        <f t="shared" si="44"/>
        <v>1.5</v>
      </c>
      <c r="N56" s="5">
        <f t="shared" si="44"/>
        <v>2.2661500309981397</v>
      </c>
      <c r="O56" s="5">
        <f t="shared" si="44"/>
        <v>2.5166938546187225</v>
      </c>
      <c r="P56" s="5">
        <f t="shared" si="44"/>
        <v>2.8280438236205825</v>
      </c>
      <c r="Q56" s="5">
        <f t="shared" si="44"/>
        <v>3.1393937926224424</v>
      </c>
      <c r="R56" s="5">
        <f t="shared" si="44"/>
        <v>3.4507437616243024</v>
      </c>
      <c r="S56" s="5">
        <f t="shared" si="44"/>
        <v>3.5674999999999999</v>
      </c>
      <c r="T56" s="5">
        <f t="shared" si="44"/>
        <v>3.5674999999999999</v>
      </c>
      <c r="U56" s="5">
        <f t="shared" si="44"/>
        <v>3.5674999999999999</v>
      </c>
      <c r="V56" s="5">
        <f t="shared" si="44"/>
        <v>3.5674999999999999</v>
      </c>
    </row>
    <row r="57" spans="1:22" x14ac:dyDescent="0.45">
      <c r="A57" t="s">
        <v>120</v>
      </c>
      <c r="B57" t="s">
        <v>118</v>
      </c>
      <c r="D57" s="5">
        <f>D56</f>
        <v>3.4624999999999999</v>
      </c>
      <c r="E57" s="5">
        <f>E56</f>
        <v>2.74</v>
      </c>
      <c r="F57" s="5">
        <f>F56</f>
        <v>3.2524999999999995</v>
      </c>
      <c r="G57">
        <f t="shared" ref="G57:M57" si="45">G53</f>
        <v>2.5</v>
      </c>
      <c r="H57">
        <f t="shared" si="45"/>
        <v>2.5</v>
      </c>
      <c r="I57">
        <f t="shared" si="45"/>
        <v>2.4</v>
      </c>
      <c r="J57">
        <f t="shared" si="45"/>
        <v>2.5</v>
      </c>
      <c r="K57">
        <f t="shared" si="45"/>
        <v>2.5</v>
      </c>
      <c r="L57">
        <f t="shared" si="45"/>
        <v>2.2999999999999998</v>
      </c>
      <c r="M57">
        <f t="shared" si="45"/>
        <v>1.5</v>
      </c>
      <c r="N57" s="5">
        <f>N56</f>
        <v>2.2661500309981397</v>
      </c>
      <c r="O57" s="5">
        <f t="shared" ref="O57:V57" si="46">O56</f>
        <v>2.5166938546187225</v>
      </c>
      <c r="P57" s="5">
        <f t="shared" si="46"/>
        <v>2.8280438236205825</v>
      </c>
      <c r="Q57" s="5">
        <f t="shared" si="46"/>
        <v>3.1393937926224424</v>
      </c>
      <c r="R57" s="5">
        <f t="shared" si="46"/>
        <v>3.4507437616243024</v>
      </c>
      <c r="S57" s="5">
        <f t="shared" si="46"/>
        <v>3.5674999999999999</v>
      </c>
      <c r="T57" s="5">
        <f t="shared" si="46"/>
        <v>3.5674999999999999</v>
      </c>
      <c r="U57" s="5">
        <f t="shared" si="46"/>
        <v>3.5674999999999999</v>
      </c>
      <c r="V57" s="5">
        <f t="shared" si="46"/>
        <v>3.5674999999999999</v>
      </c>
    </row>
    <row r="58" spans="1:22" x14ac:dyDescent="0.45">
      <c r="B58" t="s">
        <v>92</v>
      </c>
      <c r="D58">
        <f t="shared" ref="D58:V58" si="47">D28*D57/100</f>
        <v>47.34729252249209</v>
      </c>
      <c r="E58">
        <f t="shared" si="47"/>
        <v>38.763167831979843</v>
      </c>
      <c r="F58">
        <f t="shared" si="47"/>
        <v>42.588973820952013</v>
      </c>
      <c r="G58">
        <f t="shared" si="47"/>
        <v>36.49738599826162</v>
      </c>
      <c r="H58">
        <f t="shared" si="47"/>
        <v>40.668132597356383</v>
      </c>
      <c r="I58">
        <f t="shared" si="47"/>
        <v>43.854226133416375</v>
      </c>
      <c r="J58">
        <f t="shared" si="47"/>
        <v>45.144201108831311</v>
      </c>
      <c r="K58">
        <f t="shared" si="47"/>
        <v>44.6268715962687</v>
      </c>
      <c r="L58">
        <f t="shared" si="47"/>
        <v>39.874644099172606</v>
      </c>
      <c r="M58">
        <f t="shared" si="47"/>
        <v>25.907128454796013</v>
      </c>
      <c r="N58">
        <f t="shared" si="47"/>
        <v>30.236021692535186</v>
      </c>
      <c r="O58">
        <f t="shared" si="47"/>
        <v>39.801702990965467</v>
      </c>
      <c r="P58">
        <f t="shared" si="47"/>
        <v>47.328216221534639</v>
      </c>
      <c r="Q58">
        <f t="shared" si="47"/>
        <v>55.198456592461909</v>
      </c>
      <c r="R58">
        <f t="shared" si="47"/>
        <v>63.737752567299097</v>
      </c>
      <c r="S58">
        <f t="shared" si="47"/>
        <v>68.955269535342467</v>
      </c>
      <c r="T58">
        <f t="shared" si="47"/>
        <v>71.961845127987601</v>
      </c>
      <c r="U58">
        <f t="shared" si="47"/>
        <v>73.623373028196838</v>
      </c>
      <c r="V58">
        <f t="shared" si="47"/>
        <v>74.506993572646337</v>
      </c>
    </row>
    <row r="59" spans="1:22" x14ac:dyDescent="0.45">
      <c r="B59" s="6" t="s">
        <v>4</v>
      </c>
      <c r="C59" s="6"/>
      <c r="D59" s="6"/>
      <c r="E59" s="6"/>
      <c r="F59" s="6"/>
      <c r="G59" s="6"/>
      <c r="H59" s="6"/>
      <c r="I59" s="6"/>
      <c r="J59" s="6"/>
      <c r="K59" s="6"/>
      <c r="L59" s="6">
        <f t="shared" ref="L59:V59" si="48">SUM(E58:L58)</f>
        <v>332.01760318623889</v>
      </c>
      <c r="M59" s="6">
        <f t="shared" si="48"/>
        <v>319.16156380905505</v>
      </c>
      <c r="N59" s="6">
        <f t="shared" si="48"/>
        <v>306.80861168063819</v>
      </c>
      <c r="O59" s="6">
        <f t="shared" si="48"/>
        <v>310.11292867334203</v>
      </c>
      <c r="P59" s="6">
        <f t="shared" si="48"/>
        <v>316.77301229752032</v>
      </c>
      <c r="Q59" s="6">
        <f t="shared" si="48"/>
        <v>328.11724275656587</v>
      </c>
      <c r="R59" s="6">
        <f t="shared" si="48"/>
        <v>346.71079421503356</v>
      </c>
      <c r="S59" s="6">
        <f t="shared" si="48"/>
        <v>371.03919215410735</v>
      </c>
      <c r="T59" s="6">
        <f t="shared" si="48"/>
        <v>403.12639318292241</v>
      </c>
      <c r="U59" s="6">
        <f t="shared" si="48"/>
        <v>450.8426377563232</v>
      </c>
      <c r="V59" s="6">
        <f t="shared" si="48"/>
        <v>495.11360963643438</v>
      </c>
    </row>
    <row r="60" spans="1:22" x14ac:dyDescent="0.45">
      <c r="A60" s="6"/>
      <c r="B60" s="9" t="s">
        <v>142</v>
      </c>
    </row>
    <row r="61" spans="1:22" s="7" customFormat="1" x14ac:dyDescent="0.45">
      <c r="A61" t="s">
        <v>119</v>
      </c>
      <c r="B61" s="22" t="s">
        <v>25</v>
      </c>
      <c r="J61" s="7">
        <v>607</v>
      </c>
      <c r="K61" s="7">
        <v>530</v>
      </c>
      <c r="L61" s="7">
        <v>446</v>
      </c>
      <c r="M61" s="7">
        <v>349</v>
      </c>
      <c r="N61" s="7">
        <v>298.23263506342647</v>
      </c>
      <c r="O61" s="7">
        <v>304.93189671850416</v>
      </c>
      <c r="P61" s="7">
        <v>291.3038125976579</v>
      </c>
      <c r="Q61" s="7">
        <v>314.9241467585079</v>
      </c>
      <c r="R61" s="7">
        <v>348.77143617149119</v>
      </c>
      <c r="S61" s="7">
        <v>391.45483314137618</v>
      </c>
      <c r="T61" s="7">
        <v>440.42588330972501</v>
      </c>
      <c r="U61" s="7">
        <v>492.80241481999803</v>
      </c>
      <c r="V61" s="7">
        <v>546.09832705167901</v>
      </c>
    </row>
    <row r="62" spans="1:22" x14ac:dyDescent="0.45">
      <c r="A62" s="6"/>
      <c r="B62" s="9" t="s">
        <v>134</v>
      </c>
      <c r="L62" s="19">
        <f t="shared" ref="L62:V62" si="49">ABS(L59/L61-1)</f>
        <v>0.25556591213847779</v>
      </c>
      <c r="M62" s="19">
        <f t="shared" si="49"/>
        <v>8.5496951836518509E-2</v>
      </c>
      <c r="N62" s="19">
        <f t="shared" si="49"/>
        <v>2.8755996523947891E-2</v>
      </c>
      <c r="O62" s="19">
        <f t="shared" si="49"/>
        <v>1.6990783878607196E-2</v>
      </c>
      <c r="P62" s="19">
        <f t="shared" si="49"/>
        <v>8.7431741702055588E-2</v>
      </c>
      <c r="Q62" s="19">
        <f t="shared" si="49"/>
        <v>4.1892932421516704E-2</v>
      </c>
      <c r="R62" s="19">
        <f t="shared" si="49"/>
        <v>5.908287614024732E-3</v>
      </c>
      <c r="S62" s="19">
        <f t="shared" si="49"/>
        <v>5.215324798377341E-2</v>
      </c>
      <c r="T62" s="19">
        <f t="shared" si="49"/>
        <v>8.4689596003085343E-2</v>
      </c>
      <c r="U62" s="19">
        <f t="shared" si="49"/>
        <v>8.5145234280154969E-2</v>
      </c>
      <c r="V62" s="19">
        <f t="shared" si="49"/>
        <v>9.3361790156921254E-2</v>
      </c>
    </row>
    <row r="64" spans="1:22" x14ac:dyDescent="0.45">
      <c r="B64" s="6" t="s">
        <v>37</v>
      </c>
      <c r="C64">
        <v>2010</v>
      </c>
      <c r="D64">
        <v>2011</v>
      </c>
      <c r="E64">
        <v>2012</v>
      </c>
      <c r="F64">
        <v>2013</v>
      </c>
      <c r="G64">
        <f>F64+1</f>
        <v>2014</v>
      </c>
      <c r="H64">
        <f t="shared" ref="H64" si="50">G64+1</f>
        <v>2015</v>
      </c>
      <c r="I64">
        <f t="shared" ref="I64" si="51">H64+1</f>
        <v>2016</v>
      </c>
      <c r="J64">
        <f t="shared" ref="J64" si="52">I64+1</f>
        <v>2017</v>
      </c>
      <c r="K64">
        <f t="shared" ref="K64" si="53">J64+1</f>
        <v>2018</v>
      </c>
      <c r="L64">
        <f t="shared" ref="L64" si="54">K64+1</f>
        <v>2019</v>
      </c>
      <c r="M64">
        <f t="shared" ref="M64" si="55">L64+1</f>
        <v>2020</v>
      </c>
      <c r="N64">
        <f t="shared" ref="N64" si="56">M64+1</f>
        <v>2021</v>
      </c>
      <c r="O64">
        <f t="shared" ref="O64" si="57">N64+1</f>
        <v>2022</v>
      </c>
      <c r="P64">
        <f t="shared" ref="P64" si="58">O64+1</f>
        <v>2023</v>
      </c>
      <c r="Q64">
        <f t="shared" ref="Q64" si="59">P64+1</f>
        <v>2024</v>
      </c>
      <c r="R64">
        <f t="shared" ref="R64" si="60">Q64+1</f>
        <v>2025</v>
      </c>
      <c r="S64">
        <f t="shared" ref="S64" si="61">R64+1</f>
        <v>2026</v>
      </c>
      <c r="T64">
        <f t="shared" ref="T64" si="62">S64+1</f>
        <v>2027</v>
      </c>
      <c r="U64">
        <f t="shared" ref="U64" si="63">T64+1</f>
        <v>2028</v>
      </c>
      <c r="V64">
        <f t="shared" ref="V64" si="64">U64+1</f>
        <v>2029</v>
      </c>
    </row>
    <row r="65" spans="1:22" x14ac:dyDescent="0.45">
      <c r="A65" t="s">
        <v>119</v>
      </c>
      <c r="B65" t="s">
        <v>38</v>
      </c>
      <c r="H65">
        <v>290</v>
      </c>
      <c r="I65">
        <v>335</v>
      </c>
      <c r="J65">
        <v>147</v>
      </c>
      <c r="K65">
        <v>210</v>
      </c>
      <c r="L65">
        <v>191</v>
      </c>
      <c r="M65">
        <v>472</v>
      </c>
      <c r="N65">
        <v>-213.41945741539615</v>
      </c>
      <c r="O65">
        <v>154.77543243269523</v>
      </c>
      <c r="P65">
        <v>126.71882568630808</v>
      </c>
      <c r="Q65">
        <v>126.86345324303898</v>
      </c>
      <c r="R65">
        <v>151.7274176274006</v>
      </c>
      <c r="S65">
        <v>163.58790004873623</v>
      </c>
      <c r="T65">
        <v>170.90280466223598</v>
      </c>
      <c r="U65">
        <v>176.03047548457394</v>
      </c>
      <c r="V65">
        <v>181.58724706092778</v>
      </c>
    </row>
    <row r="66" spans="1:22" x14ac:dyDescent="0.45">
      <c r="B66" s="7" t="s">
        <v>76</v>
      </c>
      <c r="H66" s="19">
        <f t="shared" ref="H66:V66" si="65">H65/H49</f>
        <v>0.18216080402010051</v>
      </c>
      <c r="I66" s="19">
        <f t="shared" si="65"/>
        <v>0.22259136212624583</v>
      </c>
      <c r="J66" s="19">
        <f t="shared" si="65"/>
        <v>9.4412331406551059E-2</v>
      </c>
      <c r="K66" s="19">
        <f t="shared" si="65"/>
        <v>0.14726507713884993</v>
      </c>
      <c r="L66" s="19">
        <f t="shared" si="65"/>
        <v>0.13365990202939118</v>
      </c>
      <c r="M66" s="19">
        <f t="shared" si="65"/>
        <v>0.34402332361516036</v>
      </c>
      <c r="N66" s="19">
        <f t="shared" si="65"/>
        <v>-0.15165094883682134</v>
      </c>
      <c r="O66" s="19">
        <f t="shared" si="65"/>
        <v>0.10487635009690874</v>
      </c>
      <c r="P66" s="19">
        <f t="shared" si="65"/>
        <v>8.0270643986801518E-2</v>
      </c>
      <c r="Q66" s="19">
        <f t="shared" si="65"/>
        <v>7.675093016918165E-2</v>
      </c>
      <c r="R66" s="19">
        <f t="shared" si="65"/>
        <v>8.8258599468223911E-2</v>
      </c>
      <c r="S66" s="19">
        <f t="shared" si="65"/>
        <v>9.2735955801246481E-2</v>
      </c>
      <c r="T66" s="19">
        <f t="shared" si="65"/>
        <v>9.3221831520113277E-2</v>
      </c>
      <c r="U66" s="19">
        <f t="shared" si="65"/>
        <v>9.2755042215005759E-2</v>
      </c>
      <c r="V66" s="19">
        <f t="shared" si="65"/>
        <v>9.4172231810747853E-2</v>
      </c>
    </row>
    <row r="67" spans="1:22" x14ac:dyDescent="0.45">
      <c r="A67" t="s">
        <v>123</v>
      </c>
      <c r="B67" s="6" t="s">
        <v>39</v>
      </c>
      <c r="L67" s="6">
        <f>L65</f>
        <v>191</v>
      </c>
      <c r="M67" s="6">
        <f>M65</f>
        <v>472</v>
      </c>
      <c r="N67" s="6">
        <f>N65</f>
        <v>-213.41945741539615</v>
      </c>
      <c r="O67" s="6">
        <f>O66*O47</f>
        <v>167.38252854778054</v>
      </c>
      <c r="P67" s="6">
        <f t="shared" ref="P67:V67" si="66">P66*P47</f>
        <v>128.10290981856301</v>
      </c>
      <c r="Q67" s="6">
        <f t="shared" si="66"/>
        <v>124.63599376674782</v>
      </c>
      <c r="R67" s="6">
        <f t="shared" si="66"/>
        <v>147.85981712357352</v>
      </c>
      <c r="S67" s="6">
        <f t="shared" si="66"/>
        <v>160.71831468070721</v>
      </c>
      <c r="T67" s="6">
        <f t="shared" si="66"/>
        <v>167.83129314353596</v>
      </c>
      <c r="U67" s="6">
        <f t="shared" si="66"/>
        <v>173.08504470186642</v>
      </c>
      <c r="V67" s="6">
        <f t="shared" si="66"/>
        <v>181.44127757899656</v>
      </c>
    </row>
    <row r="68" spans="1:22" x14ac:dyDescent="0.45">
      <c r="B68" s="7"/>
    </row>
    <row r="69" spans="1:22" x14ac:dyDescent="0.45">
      <c r="A69" s="6"/>
      <c r="B69" s="6"/>
      <c r="C69" s="6"/>
      <c r="D69" s="6"/>
      <c r="E69" s="6"/>
      <c r="F69" s="6"/>
      <c r="G69" s="6"/>
      <c r="H69" s="6"/>
      <c r="I69" s="6"/>
      <c r="J69" s="6"/>
      <c r="K69" s="6"/>
      <c r="L69" s="6"/>
      <c r="M69" s="6"/>
      <c r="N69" s="6"/>
      <c r="O69" s="6"/>
      <c r="P69" s="6"/>
      <c r="Q69" s="6"/>
      <c r="R69" s="6"/>
      <c r="S69" s="6"/>
      <c r="T69" s="6"/>
      <c r="U69" s="6"/>
      <c r="V69" s="6"/>
    </row>
    <row r="84" s="6" customFormat="1" x14ac:dyDescent="0.45"/>
    <row r="85" s="6" customFormat="1" x14ac:dyDescent="0.45"/>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1615-088C-440B-BD2C-9B6D929882C1}">
  <dimension ref="A1:AD79"/>
  <sheetViews>
    <sheetView topLeftCell="A25" zoomScale="63" workbookViewId="0">
      <selection activeCell="U67" sqref="U67"/>
    </sheetView>
  </sheetViews>
  <sheetFormatPr defaultRowHeight="14.25" x14ac:dyDescent="0.45"/>
  <cols>
    <col min="1" max="1" width="18" customWidth="1"/>
    <col min="2" max="2" width="33.33203125" customWidth="1"/>
    <col min="3" max="3" width="11" bestFit="1" customWidth="1"/>
    <col min="4" max="11" width="9.73046875" bestFit="1" customWidth="1"/>
    <col min="12" max="12" width="10.86328125" bestFit="1" customWidth="1"/>
    <col min="13" max="20" width="9.73046875" bestFit="1" customWidth="1"/>
    <col min="21" max="21" width="9.1328125" bestFit="1" customWidth="1"/>
    <col min="22" max="22" width="9.73046875" bestFit="1" customWidth="1"/>
    <col min="23" max="30" width="9.1328125" bestFit="1" customWidth="1"/>
  </cols>
  <sheetData>
    <row r="1" spans="1:30" x14ac:dyDescent="0.45">
      <c r="A1" t="s">
        <v>26</v>
      </c>
    </row>
    <row r="4" spans="1:30" x14ac:dyDescent="0.45">
      <c r="C4">
        <v>2010</v>
      </c>
      <c r="D4">
        <v>2011</v>
      </c>
      <c r="E4">
        <v>2012</v>
      </c>
      <c r="F4">
        <v>2013</v>
      </c>
      <c r="G4">
        <f>F4+1</f>
        <v>2014</v>
      </c>
      <c r="H4">
        <f t="shared" ref="H4:V4" si="0">G4+1</f>
        <v>2015</v>
      </c>
      <c r="I4">
        <f t="shared" si="0"/>
        <v>2016</v>
      </c>
      <c r="J4">
        <f t="shared" si="0"/>
        <v>2017</v>
      </c>
      <c r="K4">
        <f t="shared" si="0"/>
        <v>2018</v>
      </c>
      <c r="L4">
        <f t="shared" si="0"/>
        <v>2019</v>
      </c>
      <c r="M4">
        <f t="shared" si="0"/>
        <v>2020</v>
      </c>
      <c r="N4">
        <f t="shared" si="0"/>
        <v>2021</v>
      </c>
      <c r="O4">
        <f t="shared" si="0"/>
        <v>2022</v>
      </c>
      <c r="P4">
        <f t="shared" si="0"/>
        <v>2023</v>
      </c>
      <c r="Q4">
        <f t="shared" si="0"/>
        <v>2024</v>
      </c>
      <c r="R4">
        <f t="shared" si="0"/>
        <v>2025</v>
      </c>
      <c r="S4">
        <f t="shared" si="0"/>
        <v>2026</v>
      </c>
      <c r="T4">
        <f t="shared" si="0"/>
        <v>2027</v>
      </c>
      <c r="U4">
        <f t="shared" si="0"/>
        <v>2028</v>
      </c>
      <c r="V4">
        <f t="shared" si="0"/>
        <v>2029</v>
      </c>
    </row>
    <row r="5" spans="1:30" x14ac:dyDescent="0.45">
      <c r="A5" t="s">
        <v>77</v>
      </c>
      <c r="O5">
        <f>O47-'Estimate - Baseline'!O47</f>
        <v>-64.65088121557028</v>
      </c>
      <c r="P5">
        <f>P47-'Estimate - Baseline'!P47</f>
        <v>-145.97861736186951</v>
      </c>
      <c r="Q5">
        <f>Q47-'Estimate - Baseline'!Q47</f>
        <v>-225.64086648291914</v>
      </c>
      <c r="R5">
        <f>R47-'Estimate - Baseline'!R47</f>
        <v>-292.95748928048533</v>
      </c>
      <c r="S5">
        <f>S47-'Estimate - Baseline'!S47</f>
        <v>-348.07810075480029</v>
      </c>
      <c r="T5">
        <f>T47-'Estimate - Baseline'!T47</f>
        <v>-392.35499855743342</v>
      </c>
      <c r="U5">
        <f>U47-'Estimate - Baseline'!U47</f>
        <v>-427.40937783100048</v>
      </c>
      <c r="V5">
        <f>V47-'Estimate - Baseline'!V47</f>
        <v>-455.29179045823071</v>
      </c>
    </row>
    <row r="6" spans="1:30" x14ac:dyDescent="0.45">
      <c r="A6" t="s">
        <v>78</v>
      </c>
      <c r="O6">
        <f>O59-'Estimate - Baseline'!O59</f>
        <v>-9.9504257477413489</v>
      </c>
      <c r="P6">
        <f>P59-'Estimate - Baseline'!P59</f>
        <v>-21.782479803125</v>
      </c>
      <c r="Q6">
        <f>Q59-'Estimate - Baseline'!Q59</f>
        <v>-35.582093951240552</v>
      </c>
      <c r="R6">
        <f>R59-'Estimate - Baseline'!R59</f>
        <v>-51.516532093065223</v>
      </c>
      <c r="S6">
        <f>S59-'Estimate - Baseline'!S59</f>
        <v>-68.755349476900847</v>
      </c>
      <c r="T6">
        <f>T59-'Estimate - Baseline'!T59</f>
        <v>-86.74581075889779</v>
      </c>
      <c r="U6">
        <f>U59-'Estimate - Baseline'!U59</f>
        <v>-105.15165401594697</v>
      </c>
      <c r="V6">
        <f>V59-'Estimate - Baseline'!V59</f>
        <v>-123.77840240910859</v>
      </c>
    </row>
    <row r="7" spans="1:30" x14ac:dyDescent="0.45">
      <c r="A7" t="s">
        <v>79</v>
      </c>
      <c r="O7">
        <f>(O67-'Estimate - Baseline'!O67)*-1</f>
        <v>0</v>
      </c>
      <c r="P7">
        <f>(P67-'Estimate - Baseline'!P67)*-1</f>
        <v>0</v>
      </c>
      <c r="Q7">
        <f>(Q67-'Estimate - Baseline'!Q67)*-1</f>
        <v>0</v>
      </c>
      <c r="R7">
        <f>(R67-'Estimate - Baseline'!R67)*-1</f>
        <v>0</v>
      </c>
      <c r="S7">
        <f>(S67-'Estimate - Baseline'!S67)*-1</f>
        <v>0</v>
      </c>
      <c r="T7">
        <f>(T67-'Estimate - Baseline'!T67)*-1</f>
        <v>0</v>
      </c>
      <c r="U7">
        <f>(U67-'Estimate - Baseline'!U67)*-1</f>
        <v>0</v>
      </c>
      <c r="V7">
        <f>(V67-'Estimate - Baseline'!V67)*-1</f>
        <v>0</v>
      </c>
    </row>
    <row r="8" spans="1:30" x14ac:dyDescent="0.45">
      <c r="A8" s="6" t="s">
        <v>73</v>
      </c>
      <c r="B8" s="6"/>
      <c r="C8" s="6"/>
      <c r="D8" s="6"/>
      <c r="E8" s="6"/>
      <c r="F8" s="6"/>
      <c r="G8" s="6"/>
      <c r="H8" s="6"/>
      <c r="I8" s="6"/>
      <c r="J8" s="6"/>
      <c r="K8" s="6"/>
      <c r="L8" s="6"/>
      <c r="M8" s="6"/>
      <c r="N8" s="17"/>
      <c r="O8" s="6">
        <f t="shared" ref="O8:V8" si="1">O5+O6+O7</f>
        <v>-74.601306963311629</v>
      </c>
      <c r="P8" s="6">
        <f t="shared" si="1"/>
        <v>-167.76109716499451</v>
      </c>
      <c r="Q8" s="6">
        <f t="shared" si="1"/>
        <v>-261.22296043415969</v>
      </c>
      <c r="R8" s="6">
        <f t="shared" si="1"/>
        <v>-344.47402137355056</v>
      </c>
      <c r="S8" s="6">
        <f t="shared" si="1"/>
        <v>-416.83345023170114</v>
      </c>
      <c r="T8" s="6">
        <f t="shared" si="1"/>
        <v>-479.10080931633121</v>
      </c>
      <c r="U8" s="6">
        <f t="shared" si="1"/>
        <v>-532.56103184694746</v>
      </c>
      <c r="V8" s="6">
        <f t="shared" si="1"/>
        <v>-579.0701928673393</v>
      </c>
      <c r="W8" s="6"/>
      <c r="X8" s="6"/>
    </row>
    <row r="9" spans="1:30" x14ac:dyDescent="0.45">
      <c r="A9" s="7" t="s">
        <v>88</v>
      </c>
      <c r="B9" s="7"/>
      <c r="C9" s="7"/>
      <c r="D9" s="7"/>
      <c r="E9" s="7"/>
      <c r="F9" s="7"/>
      <c r="G9" s="7"/>
      <c r="H9" s="7"/>
      <c r="I9" s="7"/>
      <c r="J9" s="7"/>
      <c r="K9" s="7"/>
      <c r="L9" s="7"/>
      <c r="M9" s="7"/>
      <c r="N9" s="18"/>
      <c r="O9" s="7">
        <f>O27-'Estimate - Baseline'!O27</f>
        <v>-5306.0399418673605</v>
      </c>
      <c r="P9" s="7">
        <f>P27-'Estimate - Baseline'!P27</f>
        <v>-5444.1693373168328</v>
      </c>
      <c r="Q9" s="7">
        <f>Q27-'Estimate - Baseline'!Q27</f>
        <v>-5571.032730872681</v>
      </c>
      <c r="R9" s="7">
        <f>R27-'Estimate - Baseline'!R27</f>
        <v>-5703.4187682799384</v>
      </c>
      <c r="S9" s="7">
        <f>S27-'Estimate - Baseline'!S27</f>
        <v>-5832.7776897383301</v>
      </c>
      <c r="T9" s="7">
        <f>T27-'Estimate - Baseline'!T27</f>
        <v>-5952.5619879557817</v>
      </c>
      <c r="U9" s="7">
        <f>U27-'Estimate - Baseline'!U27</f>
        <v>-5994.6863323739817</v>
      </c>
      <c r="V9" s="7">
        <f>V27-'Estimate - Baseline'!V27</f>
        <v>-5989.0668657879287</v>
      </c>
      <c r="W9" s="6"/>
    </row>
    <row r="10" spans="1:30" x14ac:dyDescent="0.45">
      <c r="N10" s="8"/>
    </row>
    <row r="11" spans="1:30" x14ac:dyDescent="0.45">
      <c r="C11">
        <v>2010</v>
      </c>
      <c r="D11">
        <v>2011</v>
      </c>
      <c r="E11">
        <v>2012</v>
      </c>
      <c r="F11">
        <v>2013</v>
      </c>
      <c r="G11">
        <f>F11+1</f>
        <v>2014</v>
      </c>
      <c r="H11">
        <f t="shared" ref="H11:V11" si="2">G11+1</f>
        <v>2015</v>
      </c>
      <c r="I11">
        <f t="shared" si="2"/>
        <v>2016</v>
      </c>
      <c r="J11">
        <f t="shared" si="2"/>
        <v>2017</v>
      </c>
      <c r="K11">
        <f t="shared" si="2"/>
        <v>2018</v>
      </c>
      <c r="L11">
        <f t="shared" si="2"/>
        <v>2019</v>
      </c>
      <c r="M11">
        <f t="shared" si="2"/>
        <v>2020</v>
      </c>
      <c r="N11">
        <f t="shared" si="2"/>
        <v>2021</v>
      </c>
      <c r="O11">
        <f t="shared" si="2"/>
        <v>2022</v>
      </c>
      <c r="P11">
        <f t="shared" si="2"/>
        <v>2023</v>
      </c>
      <c r="Q11">
        <f t="shared" si="2"/>
        <v>2024</v>
      </c>
      <c r="R11">
        <f t="shared" si="2"/>
        <v>2025</v>
      </c>
      <c r="S11">
        <f t="shared" si="2"/>
        <v>2026</v>
      </c>
      <c r="T11">
        <f t="shared" si="2"/>
        <v>2027</v>
      </c>
      <c r="U11">
        <f t="shared" si="2"/>
        <v>2028</v>
      </c>
      <c r="V11">
        <f t="shared" si="2"/>
        <v>2029</v>
      </c>
    </row>
    <row r="12" spans="1:30" x14ac:dyDescent="0.45">
      <c r="B12" s="6" t="s">
        <v>22</v>
      </c>
    </row>
    <row r="13" spans="1:30" x14ac:dyDescent="0.45">
      <c r="B13" t="s">
        <v>135</v>
      </c>
    </row>
    <row r="14" spans="1:30" x14ac:dyDescent="0.45">
      <c r="A14" t="s">
        <v>119</v>
      </c>
      <c r="B14" t="s">
        <v>15</v>
      </c>
      <c r="C14">
        <v>200937</v>
      </c>
      <c r="D14">
        <v>181611</v>
      </c>
      <c r="E14">
        <v>179218</v>
      </c>
      <c r="F14">
        <v>163522</v>
      </c>
      <c r="G14">
        <v>156077</v>
      </c>
      <c r="H14">
        <v>146477</v>
      </c>
      <c r="I14">
        <v>144010</v>
      </c>
      <c r="J14">
        <v>112913</v>
      </c>
      <c r="K14">
        <v>104354</v>
      </c>
      <c r="L14" s="23">
        <v>99838</v>
      </c>
      <c r="M14">
        <v>94120</v>
      </c>
      <c r="N14" s="5">
        <f>M14*N17*N19*N21</f>
        <v>65894.038723837279</v>
      </c>
      <c r="O14" s="4">
        <f>M14*O17*O19*O21</f>
        <v>74514.49452915389</v>
      </c>
      <c r="P14" s="5">
        <f t="shared" ref="P14:V14" si="3">O14*P17*P19*P21</f>
        <v>76849.736874944647</v>
      </c>
      <c r="Q14" s="5">
        <f t="shared" si="3"/>
        <v>78901.532392872847</v>
      </c>
      <c r="R14" s="5">
        <f t="shared" si="3"/>
        <v>80963.408364729694</v>
      </c>
      <c r="S14" s="5">
        <f t="shared" si="3"/>
        <v>82845.335913838688</v>
      </c>
      <c r="T14" s="5">
        <f t="shared" si="3"/>
        <v>84717.745621430367</v>
      </c>
      <c r="U14" s="5">
        <f t="shared" si="3"/>
        <v>86064.742480371395</v>
      </c>
      <c r="V14" s="5">
        <f t="shared" si="3"/>
        <v>87179.405795384169</v>
      </c>
      <c r="W14" s="14"/>
      <c r="X14" s="14"/>
      <c r="Y14" s="14"/>
      <c r="Z14" s="14"/>
      <c r="AA14" s="14"/>
      <c r="AB14" s="14"/>
      <c r="AC14" s="14"/>
      <c r="AD14" s="14"/>
    </row>
    <row r="15" spans="1:30" x14ac:dyDescent="0.45">
      <c r="B15" s="3" t="s">
        <v>20</v>
      </c>
      <c r="D15">
        <f t="shared" ref="D15:M15" si="4">D14/C14</f>
        <v>0.90382060048671975</v>
      </c>
      <c r="E15">
        <f t="shared" si="4"/>
        <v>0.9868234853615695</v>
      </c>
      <c r="F15">
        <f t="shared" si="4"/>
        <v>0.91241951143300337</v>
      </c>
      <c r="G15">
        <f t="shared" si="4"/>
        <v>0.9544709580362275</v>
      </c>
      <c r="H15">
        <f t="shared" si="4"/>
        <v>0.9384918982297199</v>
      </c>
      <c r="I15">
        <f t="shared" si="4"/>
        <v>0.98315776538296118</v>
      </c>
      <c r="J15">
        <f t="shared" si="4"/>
        <v>0.78406360669397956</v>
      </c>
      <c r="K15">
        <f t="shared" si="4"/>
        <v>0.92419827654920161</v>
      </c>
      <c r="L15">
        <f t="shared" si="4"/>
        <v>0.95672422714989358</v>
      </c>
      <c r="M15">
        <f t="shared" si="4"/>
        <v>0.94272721809331117</v>
      </c>
      <c r="W15" s="15"/>
      <c r="X15" s="15"/>
      <c r="Y15" s="15"/>
      <c r="Z15" s="15"/>
      <c r="AA15" s="15"/>
      <c r="AB15" s="15"/>
      <c r="AC15" s="15"/>
      <c r="AD15" s="15"/>
    </row>
    <row r="16" spans="1:30" x14ac:dyDescent="0.45">
      <c r="A16" t="s">
        <v>119</v>
      </c>
      <c r="B16" t="s">
        <v>18</v>
      </c>
      <c r="C16">
        <v>0.74099999999999999</v>
      </c>
      <c r="D16">
        <v>0.69299999999999995</v>
      </c>
      <c r="E16">
        <v>0.67</v>
      </c>
      <c r="F16">
        <v>0.63400000000000001</v>
      </c>
      <c r="G16">
        <v>0.57799999999999996</v>
      </c>
      <c r="H16">
        <v>0.53700000000000003</v>
      </c>
      <c r="I16">
        <v>0.56599999999999995</v>
      </c>
      <c r="J16">
        <v>0.53600000000000003</v>
      </c>
      <c r="K16">
        <v>0.50700000000000001</v>
      </c>
      <c r="L16">
        <v>0.46100000000000002</v>
      </c>
      <c r="M16">
        <v>0.377</v>
      </c>
      <c r="N16">
        <v>0.26500000000000001</v>
      </c>
      <c r="O16">
        <v>0.29000000000000004</v>
      </c>
      <c r="P16">
        <v>0.30000000000000004</v>
      </c>
      <c r="Q16">
        <v>0.31000000000000005</v>
      </c>
      <c r="R16">
        <v>0.32000000000000006</v>
      </c>
      <c r="S16">
        <v>0.33000000000000007</v>
      </c>
      <c r="T16" s="5">
        <f>S16*T17</f>
        <v>0.34064516129032263</v>
      </c>
      <c r="U16" s="5">
        <f>T16*U17</f>
        <v>0.35163371488033301</v>
      </c>
      <c r="V16" s="5">
        <f>U16*V17</f>
        <v>0.36297673794098889</v>
      </c>
      <c r="W16" s="15"/>
      <c r="X16" s="15"/>
      <c r="Y16" s="15"/>
      <c r="Z16" s="15"/>
      <c r="AA16" s="15"/>
      <c r="AB16" s="15"/>
      <c r="AC16" s="15"/>
      <c r="AD16" s="15"/>
    </row>
    <row r="17" spans="1:30" x14ac:dyDescent="0.45">
      <c r="B17" s="3" t="s">
        <v>20</v>
      </c>
      <c r="D17">
        <f t="shared" ref="D17:N17" si="5">D16/C16</f>
        <v>0.93522267206477727</v>
      </c>
      <c r="E17">
        <f t="shared" si="5"/>
        <v>0.9668109668109669</v>
      </c>
      <c r="F17">
        <f t="shared" si="5"/>
        <v>0.94626865671641791</v>
      </c>
      <c r="G17">
        <f t="shared" si="5"/>
        <v>0.9116719242902207</v>
      </c>
      <c r="H17">
        <f t="shared" si="5"/>
        <v>0.92906574394463681</v>
      </c>
      <c r="I17">
        <f t="shared" si="5"/>
        <v>1.0540037243947857</v>
      </c>
      <c r="J17">
        <f t="shared" si="5"/>
        <v>0.94699646643109558</v>
      </c>
      <c r="K17">
        <f t="shared" si="5"/>
        <v>0.94589552238805963</v>
      </c>
      <c r="L17">
        <f t="shared" si="5"/>
        <v>0.90927021696252464</v>
      </c>
      <c r="M17">
        <f t="shared" si="5"/>
        <v>0.81778741865509763</v>
      </c>
      <c r="N17">
        <f t="shared" si="5"/>
        <v>0.70291777188328919</v>
      </c>
      <c r="O17" s="4">
        <f>O16/M16</f>
        <v>0.76923076923076927</v>
      </c>
      <c r="P17">
        <f>P16/O16</f>
        <v>1.0344827586206897</v>
      </c>
      <c r="Q17">
        <f>Q16/P16</f>
        <v>1.0333333333333334</v>
      </c>
      <c r="R17">
        <f>R16/Q16</f>
        <v>1.032258064516129</v>
      </c>
      <c r="S17">
        <f>S16/R16</f>
        <v>1.03125</v>
      </c>
      <c r="T17" s="5">
        <f>MEDIAN($Q17:$S17)</f>
        <v>1.032258064516129</v>
      </c>
      <c r="U17" s="5">
        <f>MEDIAN($Q17:$S17)</f>
        <v>1.032258064516129</v>
      </c>
      <c r="V17" s="5">
        <f>MEDIAN($Q17:$S17)</f>
        <v>1.032258064516129</v>
      </c>
      <c r="W17" s="15"/>
      <c r="X17" s="15"/>
      <c r="Y17" s="15"/>
      <c r="Z17" s="15"/>
      <c r="AA17" s="15"/>
      <c r="AB17" s="15"/>
      <c r="AC17" s="15"/>
      <c r="AD17" s="15"/>
    </row>
    <row r="18" spans="1:30" x14ac:dyDescent="0.45">
      <c r="A18" t="s">
        <v>121</v>
      </c>
      <c r="B18" t="s">
        <v>19</v>
      </c>
      <c r="C18">
        <v>1729525.7080535549</v>
      </c>
      <c r="D18">
        <v>1782214.5498523924</v>
      </c>
      <c r="E18">
        <v>1837430.6550368499</v>
      </c>
      <c r="F18">
        <v>1893701.4081251801</v>
      </c>
      <c r="G18">
        <v>1948495.6343374075</v>
      </c>
      <c r="H18">
        <v>2003510.2889001751</v>
      </c>
      <c r="I18">
        <v>2059012.1006868749</v>
      </c>
      <c r="J18">
        <v>2117152.3864772976</v>
      </c>
      <c r="K18">
        <v>2176677.8534039124</v>
      </c>
      <c r="L18">
        <v>2233521.4655320225</v>
      </c>
      <c r="M18">
        <v>2288031.680475025</v>
      </c>
      <c r="N18">
        <v>2358174.8090827726</v>
      </c>
      <c r="O18">
        <v>2436792.25</v>
      </c>
      <c r="P18">
        <v>2513918.25</v>
      </c>
      <c r="Q18">
        <v>2584687.5</v>
      </c>
      <c r="R18">
        <v>2658749.25</v>
      </c>
      <c r="S18">
        <v>2729901.5</v>
      </c>
      <c r="T18">
        <v>2798461.25</v>
      </c>
      <c r="U18">
        <v>2849943</v>
      </c>
      <c r="V18">
        <v>2893948.5</v>
      </c>
      <c r="W18" s="2"/>
      <c r="X18" s="2"/>
      <c r="Y18" s="2"/>
      <c r="Z18" s="2"/>
      <c r="AA18" s="2"/>
      <c r="AB18" s="2"/>
      <c r="AC18" s="2"/>
      <c r="AD18" s="2"/>
    </row>
    <row r="19" spans="1:30" x14ac:dyDescent="0.45">
      <c r="B19" s="3" t="s">
        <v>20</v>
      </c>
      <c r="D19">
        <f t="shared" ref="D19:N19" si="6">D18/C18</f>
        <v>1.0304643299336294</v>
      </c>
      <c r="E19">
        <f t="shared" si="6"/>
        <v>1.0309817385280748</v>
      </c>
      <c r="F19">
        <f t="shared" si="6"/>
        <v>1.0306246948335591</v>
      </c>
      <c r="G19">
        <f t="shared" si="6"/>
        <v>1.0289349873095757</v>
      </c>
      <c r="H19">
        <f t="shared" si="6"/>
        <v>1.0282344253655336</v>
      </c>
      <c r="I19">
        <f t="shared" si="6"/>
        <v>1.0277022843826609</v>
      </c>
      <c r="J19">
        <f t="shared" si="6"/>
        <v>1.0282369811090608</v>
      </c>
      <c r="K19">
        <f t="shared" si="6"/>
        <v>1.0281158159926591</v>
      </c>
      <c r="L19">
        <f t="shared" si="6"/>
        <v>1.0261148483865987</v>
      </c>
      <c r="M19">
        <f t="shared" si="6"/>
        <v>1.0244055030516657</v>
      </c>
      <c r="N19">
        <f t="shared" si="6"/>
        <v>1.0306565373225887</v>
      </c>
      <c r="O19" s="4">
        <f>O18/M18</f>
        <v>1.065016831189195</v>
      </c>
      <c r="P19">
        <f t="shared" ref="P19:V19" si="7">P18/O18</f>
        <v>1.0316506259407219</v>
      </c>
      <c r="Q19">
        <f t="shared" si="7"/>
        <v>1.0281509750764568</v>
      </c>
      <c r="R19">
        <f t="shared" si="7"/>
        <v>1.0286540442509975</v>
      </c>
      <c r="S19">
        <f t="shared" si="7"/>
        <v>1.0267615496271414</v>
      </c>
      <c r="T19">
        <f t="shared" si="7"/>
        <v>1.0251143676795664</v>
      </c>
      <c r="U19">
        <f t="shared" si="7"/>
        <v>1.0183964491200299</v>
      </c>
      <c r="V19">
        <f t="shared" si="7"/>
        <v>1.0154408351324922</v>
      </c>
    </row>
    <row r="20" spans="1:30" x14ac:dyDescent="0.45">
      <c r="B20" t="s">
        <v>136</v>
      </c>
      <c r="D20">
        <f t="shared" ref="D20:M20" si="8">D15/D17/D19</f>
        <v>0.93785186453117741</v>
      </c>
      <c r="E20">
        <f t="shared" si="8"/>
        <v>0.99002676508442944</v>
      </c>
      <c r="F20">
        <f t="shared" si="8"/>
        <v>0.93557705929623514</v>
      </c>
      <c r="G20">
        <f t="shared" si="8"/>
        <v>1.0175041823293318</v>
      </c>
      <c r="H20">
        <f t="shared" si="8"/>
        <v>0.98240811348376522</v>
      </c>
      <c r="I20">
        <f t="shared" si="8"/>
        <v>0.90764024931238874</v>
      </c>
      <c r="J20">
        <f t="shared" si="8"/>
        <v>0.80521103500093183</v>
      </c>
      <c r="K20">
        <f t="shared" si="8"/>
        <v>0.95034204670213762</v>
      </c>
      <c r="L20">
        <f t="shared" si="8"/>
        <v>1.0254106732291881</v>
      </c>
      <c r="M20">
        <f t="shared" si="8"/>
        <v>1.1253139908974532</v>
      </c>
    </row>
    <row r="21" spans="1:30" x14ac:dyDescent="0.45">
      <c r="B21" s="3" t="s">
        <v>137</v>
      </c>
      <c r="G21">
        <f>MEDIAN($D20:F20)</f>
        <v>0.93785186453117741</v>
      </c>
      <c r="H21">
        <f>MEDIAN($D20:G20)</f>
        <v>0.96393931480780348</v>
      </c>
      <c r="I21">
        <f>MEDIAN($D20:H20)</f>
        <v>0.98240811348376522</v>
      </c>
      <c r="J21">
        <f>MEDIAN($D20:I20)</f>
        <v>0.96012998900747126</v>
      </c>
      <c r="K21">
        <f>MEDIAN($D20:J20)</f>
        <v>0.93785186453117741</v>
      </c>
      <c r="L21">
        <f>MEDIAN($D20:K20)</f>
        <v>0.94409695561665752</v>
      </c>
      <c r="M21">
        <f>MEDIAN($D20:L20)</f>
        <v>0.95034204670213762</v>
      </c>
      <c r="N21">
        <f>MEDIAN($D20:M20)</f>
        <v>0.96637508009295137</v>
      </c>
      <c r="O21">
        <f t="shared" ref="O21:V21" si="9">N21</f>
        <v>0.96637508009295137</v>
      </c>
      <c r="P21">
        <f t="shared" si="9"/>
        <v>0.96637508009295137</v>
      </c>
      <c r="Q21">
        <f t="shared" si="9"/>
        <v>0.96637508009295137</v>
      </c>
      <c r="R21">
        <f t="shared" si="9"/>
        <v>0.96637508009295137</v>
      </c>
      <c r="S21">
        <f t="shared" si="9"/>
        <v>0.96637508009295137</v>
      </c>
      <c r="T21">
        <f t="shared" si="9"/>
        <v>0.96637508009295137</v>
      </c>
      <c r="U21">
        <f t="shared" si="9"/>
        <v>0.96637508009295137</v>
      </c>
      <c r="V21">
        <f t="shared" si="9"/>
        <v>0.96637508009295137</v>
      </c>
    </row>
    <row r="22" spans="1:30" x14ac:dyDescent="0.45">
      <c r="B22" s="3"/>
    </row>
    <row r="23" spans="1:30" x14ac:dyDescent="0.45">
      <c r="B23" t="s">
        <v>13</v>
      </c>
      <c r="C23">
        <v>2010</v>
      </c>
      <c r="D23">
        <v>2011</v>
      </c>
      <c r="E23">
        <v>2012</v>
      </c>
      <c r="F23">
        <v>2013</v>
      </c>
      <c r="G23">
        <f>F23+1</f>
        <v>2014</v>
      </c>
      <c r="H23">
        <f t="shared" ref="H23:V23" si="10">G23+1</f>
        <v>2015</v>
      </c>
      <c r="I23">
        <f t="shared" si="10"/>
        <v>2016</v>
      </c>
      <c r="J23">
        <f t="shared" si="10"/>
        <v>2017</v>
      </c>
      <c r="K23">
        <f t="shared" si="10"/>
        <v>2018</v>
      </c>
      <c r="L23">
        <f t="shared" si="10"/>
        <v>2019</v>
      </c>
      <c r="M23">
        <f t="shared" si="10"/>
        <v>2020</v>
      </c>
      <c r="N23">
        <f t="shared" si="10"/>
        <v>2021</v>
      </c>
      <c r="O23">
        <f t="shared" si="10"/>
        <v>2022</v>
      </c>
      <c r="P23">
        <f t="shared" si="10"/>
        <v>2023</v>
      </c>
      <c r="Q23">
        <f t="shared" si="10"/>
        <v>2024</v>
      </c>
      <c r="R23">
        <f t="shared" si="10"/>
        <v>2025</v>
      </c>
      <c r="S23">
        <f t="shared" si="10"/>
        <v>2026</v>
      </c>
      <c r="T23">
        <f t="shared" si="10"/>
        <v>2027</v>
      </c>
      <c r="U23">
        <f t="shared" si="10"/>
        <v>2028</v>
      </c>
      <c r="V23">
        <f t="shared" si="10"/>
        <v>2029</v>
      </c>
    </row>
    <row r="24" spans="1:30" x14ac:dyDescent="0.45">
      <c r="A24" t="s">
        <v>121</v>
      </c>
      <c r="B24" t="s">
        <v>10</v>
      </c>
      <c r="C24">
        <v>320057.64367763448</v>
      </c>
      <c r="D24">
        <v>335928.07057014998</v>
      </c>
      <c r="E24">
        <v>352090.35247011349</v>
      </c>
      <c r="F24">
        <v>361114.76336657</v>
      </c>
      <c r="G24">
        <v>380164.75955732318</v>
      </c>
      <c r="H24">
        <v>400661.80804554146</v>
      </c>
      <c r="I24">
        <v>440475.57916016027</v>
      </c>
      <c r="J24">
        <v>493833.02854041301</v>
      </c>
      <c r="K24">
        <v>513904.15779530327</v>
      </c>
      <c r="L24">
        <v>519934.052588208</v>
      </c>
      <c r="M24">
        <v>550383.57827856496</v>
      </c>
      <c r="N24">
        <v>610983.62464290159</v>
      </c>
      <c r="O24">
        <v>637068.5</v>
      </c>
      <c r="P24">
        <v>653652.97500000009</v>
      </c>
      <c r="Q24">
        <v>668884.80000000005</v>
      </c>
      <c r="R24">
        <v>684779.7</v>
      </c>
      <c r="S24">
        <v>700311.15</v>
      </c>
      <c r="T24">
        <v>714693.02499999991</v>
      </c>
      <c r="U24">
        <v>719750.67500000005</v>
      </c>
      <c r="V24">
        <v>719075.97499999998</v>
      </c>
    </row>
    <row r="25" spans="1:30" x14ac:dyDescent="0.45">
      <c r="B25" t="s">
        <v>138</v>
      </c>
      <c r="C25">
        <f>'Model Inputs'!D37</f>
        <v>2.4795566450673941E-2</v>
      </c>
      <c r="D25">
        <f>'Model Inputs'!E37</f>
        <v>2.4826559490982787E-2</v>
      </c>
      <c r="E25">
        <f>'Model Inputs'!F37</f>
        <v>2.4836749195117042E-2</v>
      </c>
      <c r="F25">
        <f>'Model Inputs'!G37</f>
        <v>2.4626630321012824E-2</v>
      </c>
      <c r="G25">
        <f>'Model Inputs'!H37</f>
        <v>2.7289514031504595E-2</v>
      </c>
      <c r="H25">
        <f>'Model Inputs'!I37</f>
        <v>3.0660568667462224E-2</v>
      </c>
      <c r="I25">
        <f>'Model Inputs'!J37</f>
        <v>3.1877096993117991E-2</v>
      </c>
      <c r="J25">
        <f>'Model Inputs'!K37</f>
        <v>3.5876060526191432E-2</v>
      </c>
      <c r="K25">
        <f>'Model Inputs'!L37</f>
        <v>3.6907385597619746E-2</v>
      </c>
      <c r="L25">
        <f>'Model Inputs'!M37</f>
        <v>3.6979494151529291E-2</v>
      </c>
      <c r="M25">
        <f>'Model Inputs'!N37</f>
        <v>3.6926324117621201E-2</v>
      </c>
      <c r="N25">
        <f>'Model Inputs'!O37</f>
        <v>3.6802293373045421E-2</v>
      </c>
      <c r="O25">
        <f>'Model Inputs'!P37*(1-0.25)</f>
        <v>2.7691726675220612E-2</v>
      </c>
      <c r="P25">
        <f>'Model Inputs'!Q37*(1-0.25)</f>
        <v>2.7691726675220612E-2</v>
      </c>
      <c r="Q25">
        <f>'Model Inputs'!R37*(1-0.25)</f>
        <v>2.7691726675220612E-2</v>
      </c>
      <c r="R25">
        <f>'Model Inputs'!S37*(1-0.25)</f>
        <v>2.7691726675220612E-2</v>
      </c>
      <c r="S25">
        <f>'Model Inputs'!T37*(1-0.25)</f>
        <v>2.7691726675220612E-2</v>
      </c>
      <c r="T25">
        <f>'Model Inputs'!U37*(1-0.25)</f>
        <v>2.7691726675220612E-2</v>
      </c>
      <c r="U25">
        <f>'Model Inputs'!V37*(1-0.25)</f>
        <v>2.7691726675220612E-2</v>
      </c>
      <c r="V25">
        <f>'Model Inputs'!W37*(1-0.25)</f>
        <v>2.7691726675220612E-2</v>
      </c>
    </row>
    <row r="26" spans="1:30" x14ac:dyDescent="0.45">
      <c r="B26" t="s">
        <v>139</v>
      </c>
      <c r="C26">
        <f>'Model Inputs'!D47</f>
        <v>0.90145767735460547</v>
      </c>
      <c r="D26">
        <f>'Model Inputs'!E47</f>
        <v>0.90281836285240202</v>
      </c>
      <c r="E26">
        <f>'Model Inputs'!F47</f>
        <v>0.90268909352153059</v>
      </c>
      <c r="F26">
        <f>'Model Inputs'!G47</f>
        <v>0.90043723434755296</v>
      </c>
      <c r="G26">
        <f>'Model Inputs'!H47</f>
        <v>0.9016026616556837</v>
      </c>
      <c r="H26">
        <f>'Model Inputs'!I47</f>
        <v>0.90403789124300693</v>
      </c>
      <c r="I26">
        <f>'Model Inputs'!J47</f>
        <v>0.90366395667756638</v>
      </c>
      <c r="J26">
        <f>'Model Inputs'!K47</f>
        <v>0.90267857745990965</v>
      </c>
      <c r="K26">
        <f>'Model Inputs'!L47</f>
        <v>0.90188657079543155</v>
      </c>
      <c r="L26">
        <f>'Model Inputs'!M47</f>
        <v>0.90315831194793494</v>
      </c>
      <c r="M26">
        <f>'Model Inputs'!N47</f>
        <v>0.90291019361786296</v>
      </c>
      <c r="N26">
        <f>'Model Inputs'!O47</f>
        <v>0.90050350757011666</v>
      </c>
      <c r="O26">
        <f>'Model Inputs'!P47</f>
        <v>0.90230964860736518</v>
      </c>
      <c r="P26">
        <f>'Model Inputs'!Q47</f>
        <v>0.90230964860736518</v>
      </c>
      <c r="Q26">
        <f>'Model Inputs'!R47</f>
        <v>0.90230964860736518</v>
      </c>
      <c r="R26">
        <f>'Model Inputs'!S47</f>
        <v>0.90230964860736518</v>
      </c>
      <c r="S26">
        <f>'Model Inputs'!T47</f>
        <v>0.90230964860736518</v>
      </c>
      <c r="T26">
        <f>'Model Inputs'!U47</f>
        <v>0.90230964860736518</v>
      </c>
      <c r="U26">
        <f>'Model Inputs'!V47</f>
        <v>0.90230964860736518</v>
      </c>
      <c r="V26">
        <f>'Model Inputs'!W47</f>
        <v>0.90230964860736518</v>
      </c>
    </row>
    <row r="27" spans="1:30" x14ac:dyDescent="0.45">
      <c r="B27" t="s">
        <v>14</v>
      </c>
      <c r="C27">
        <f>C26*C25*C24</f>
        <v>7153.9776575659198</v>
      </c>
      <c r="D27">
        <f t="shared" ref="D27:V27" si="11">D26*D25*D24</f>
        <v>7529.449377925901</v>
      </c>
      <c r="E27">
        <f t="shared" si="11"/>
        <v>7893.8173311376031</v>
      </c>
      <c r="F27">
        <f t="shared" si="11"/>
        <v>8007.624145246049</v>
      </c>
      <c r="G27">
        <f t="shared" si="11"/>
        <v>9353.6872180427908</v>
      </c>
      <c r="H27">
        <f t="shared" si="11"/>
        <v>11105.670541410973</v>
      </c>
      <c r="I27">
        <f t="shared" si="11"/>
        <v>12688.420402928146</v>
      </c>
      <c r="J27">
        <f t="shared" si="11"/>
        <v>15992.561036844761</v>
      </c>
      <c r="K27">
        <f t="shared" si="11"/>
        <v>17105.955342878548</v>
      </c>
      <c r="L27">
        <f t="shared" si="11"/>
        <v>17364.932973666298</v>
      </c>
      <c r="M27">
        <f t="shared" si="11"/>
        <v>18350.423894883137</v>
      </c>
      <c r="N27">
        <f t="shared" si="11"/>
        <v>20248.360409325076</v>
      </c>
      <c r="O27">
        <f t="shared" si="11"/>
        <v>15918.119825602085</v>
      </c>
      <c r="P27">
        <f t="shared" si="11"/>
        <v>16332.508011950498</v>
      </c>
      <c r="Q27">
        <f t="shared" si="11"/>
        <v>16713.098192618039</v>
      </c>
      <c r="R27">
        <f t="shared" si="11"/>
        <v>17110.256304839822</v>
      </c>
      <c r="S27">
        <f t="shared" si="11"/>
        <v>17498.333069215001</v>
      </c>
      <c r="T27">
        <f t="shared" si="11"/>
        <v>17857.685963867349</v>
      </c>
      <c r="U27">
        <f t="shared" si="11"/>
        <v>17984.058997121949</v>
      </c>
      <c r="V27">
        <f t="shared" si="11"/>
        <v>17967.200597363782</v>
      </c>
    </row>
    <row r="28" spans="1:30" x14ac:dyDescent="0.45">
      <c r="B28" t="s">
        <v>17</v>
      </c>
      <c r="C28">
        <f t="shared" ref="C28:V28" si="12">C27*C14/1000000</f>
        <v>1437.4988085783232</v>
      </c>
      <c r="D28">
        <f t="shared" si="12"/>
        <v>1367.4308309745009</v>
      </c>
      <c r="E28">
        <f t="shared" si="12"/>
        <v>1414.714154451819</v>
      </c>
      <c r="F28">
        <f t="shared" si="12"/>
        <v>1309.4227154789246</v>
      </c>
      <c r="G28">
        <f t="shared" si="12"/>
        <v>1459.8954399304648</v>
      </c>
      <c r="H28">
        <f t="shared" si="12"/>
        <v>1626.7253038942551</v>
      </c>
      <c r="I28">
        <f t="shared" si="12"/>
        <v>1827.2594222256823</v>
      </c>
      <c r="J28">
        <f t="shared" si="12"/>
        <v>1805.7680443532527</v>
      </c>
      <c r="K28">
        <f t="shared" si="12"/>
        <v>1785.074863850748</v>
      </c>
      <c r="L28">
        <f t="shared" si="12"/>
        <v>1733.6801782248961</v>
      </c>
      <c r="M28">
        <f t="shared" si="12"/>
        <v>1727.1418969864008</v>
      </c>
      <c r="N28">
        <f t="shared" si="12"/>
        <v>1334.2462449062803</v>
      </c>
      <c r="O28">
        <f t="shared" si="12"/>
        <v>1186.1306526592427</v>
      </c>
      <c r="P28">
        <f t="shared" si="12"/>
        <v>1255.1489432263211</v>
      </c>
      <c r="Q28">
        <f t="shared" si="12"/>
        <v>1318.6890584301168</v>
      </c>
      <c r="R28">
        <f t="shared" si="12"/>
        <v>1385.3046684339376</v>
      </c>
      <c r="S28">
        <f t="shared" si="12"/>
        <v>1449.6552810513488</v>
      </c>
      <c r="T28">
        <f t="shared" si="12"/>
        <v>1512.8628968743017</v>
      </c>
      <c r="U28">
        <f t="shared" si="12"/>
        <v>1547.7934063391067</v>
      </c>
      <c r="V28">
        <f t="shared" si="12"/>
        <v>1566.369871884646</v>
      </c>
    </row>
    <row r="30" spans="1:30" x14ac:dyDescent="0.45">
      <c r="A30" t="s">
        <v>16</v>
      </c>
      <c r="B30" t="s">
        <v>140</v>
      </c>
      <c r="C30">
        <v>2010</v>
      </c>
      <c r="D30">
        <v>2011</v>
      </c>
      <c r="E30">
        <v>2012</v>
      </c>
      <c r="F30">
        <v>2013</v>
      </c>
      <c r="G30">
        <f>F30+1</f>
        <v>2014</v>
      </c>
      <c r="H30">
        <f t="shared" ref="H30:V30" si="13">G30+1</f>
        <v>2015</v>
      </c>
      <c r="I30">
        <f t="shared" si="13"/>
        <v>2016</v>
      </c>
      <c r="J30">
        <f t="shared" si="13"/>
        <v>2017</v>
      </c>
      <c r="K30">
        <f t="shared" si="13"/>
        <v>2018</v>
      </c>
      <c r="L30">
        <f t="shared" si="13"/>
        <v>2019</v>
      </c>
      <c r="M30">
        <f t="shared" si="13"/>
        <v>2020</v>
      </c>
      <c r="N30">
        <f t="shared" si="13"/>
        <v>2021</v>
      </c>
      <c r="O30">
        <f t="shared" si="13"/>
        <v>2022</v>
      </c>
      <c r="P30">
        <f t="shared" si="13"/>
        <v>2023</v>
      </c>
      <c r="Q30">
        <f t="shared" si="13"/>
        <v>2024</v>
      </c>
      <c r="R30">
        <f t="shared" si="13"/>
        <v>2025</v>
      </c>
      <c r="S30">
        <f t="shared" si="13"/>
        <v>2026</v>
      </c>
      <c r="T30">
        <f t="shared" si="13"/>
        <v>2027</v>
      </c>
      <c r="U30">
        <f t="shared" si="13"/>
        <v>2028</v>
      </c>
      <c r="V30">
        <f t="shared" si="13"/>
        <v>2029</v>
      </c>
    </row>
    <row r="31" spans="1:30" x14ac:dyDescent="0.45">
      <c r="B31">
        <v>1</v>
      </c>
      <c r="C31">
        <f>C$28*'Model Inputs'!D50</f>
        <v>235.03704949308997</v>
      </c>
      <c r="D31">
        <f>D$28*'Model Inputs'!E50</f>
        <v>223.58344931021355</v>
      </c>
      <c r="E31">
        <f>E$28*'Model Inputs'!F50</f>
        <v>231.30731771027331</v>
      </c>
      <c r="F31">
        <f>F$28*'Model Inputs'!G50</f>
        <v>214.104564325686</v>
      </c>
      <c r="G31">
        <f>G$28*'Model Inputs'!H50</f>
        <v>238.69832186778055</v>
      </c>
      <c r="H31">
        <f>H$28*'Model Inputs'!I50</f>
        <v>265.96658276750742</v>
      </c>
      <c r="I31">
        <f>I$28*'Model Inputs'!J50</f>
        <v>298.76911001651177</v>
      </c>
      <c r="J31">
        <f>J$28*'Model Inputs'!K50</f>
        <v>295.26980163396524</v>
      </c>
      <c r="K31">
        <f>K$28*'Model Inputs'!L50</f>
        <v>291.88859695218036</v>
      </c>
      <c r="L31">
        <f>L$28*'Model Inputs'!M50</f>
        <v>283.4811448034211</v>
      </c>
      <c r="M31">
        <f>M$28*'Model Inputs'!N50</f>
        <v>282.42163127667715</v>
      </c>
      <c r="N31">
        <f>N$28*'Model Inputs'!O50</f>
        <v>218.18246377433303</v>
      </c>
      <c r="O31">
        <f>O$28*'Model Inputs'!P50</f>
        <v>193.95264364671132</v>
      </c>
      <c r="P31">
        <f>P$28*'Model Inputs'!Q50</f>
        <v>205.2383143149892</v>
      </c>
      <c r="Q31">
        <f>Q$28*'Model Inputs'!R50</f>
        <v>215.62820963871556</v>
      </c>
      <c r="R31">
        <f>R$28*'Model Inputs'!S50</f>
        <v>226.5210009508807</v>
      </c>
      <c r="S31">
        <f>S$28*'Model Inputs'!T50</f>
        <v>237.04342646062588</v>
      </c>
      <c r="T31">
        <f>T$28*'Model Inputs'!U50</f>
        <v>247.37895245009656</v>
      </c>
      <c r="U31">
        <f>U$28*'Model Inputs'!V50</f>
        <v>253.09068803288122</v>
      </c>
      <c r="V31">
        <f>V$28*'Model Inputs'!W50</f>
        <v>256.12825779308577</v>
      </c>
    </row>
    <row r="32" spans="1:30" x14ac:dyDescent="0.45">
      <c r="B32">
        <v>2</v>
      </c>
      <c r="D32">
        <f>C$28*'Model Inputs'!E51</f>
        <v>281.98915814489641</v>
      </c>
      <c r="E32">
        <f>D$28*'Model Inputs'!F51</f>
        <v>268.24753281279106</v>
      </c>
      <c r="F32">
        <f>E$28*'Model Inputs'!G51</f>
        <v>277.51435756426002</v>
      </c>
      <c r="G32">
        <f>F$28*'Model Inputs'!H51</f>
        <v>256.87510109317901</v>
      </c>
      <c r="H32">
        <f>G$28*'Model Inputs'!I51</f>
        <v>286.38182354341478</v>
      </c>
      <c r="I32">
        <f>H$28*'Model Inputs'!J51</f>
        <v>319.09732074597576</v>
      </c>
      <c r="J32">
        <f>I$28*'Model Inputs'!K51</f>
        <v>358.45263542475249</v>
      </c>
      <c r="K32">
        <f>J$28*'Model Inputs'!L51</f>
        <v>354.25428870872685</v>
      </c>
      <c r="L32">
        <f>K$28*'Model Inputs'!M51</f>
        <v>350.19763864530722</v>
      </c>
      <c r="M32">
        <f>L$28*'Model Inputs'!N51</f>
        <v>340.11067423401414</v>
      </c>
      <c r="N32">
        <f>M$28*'Model Inputs'!O51</f>
        <v>338.83950729206174</v>
      </c>
      <c r="O32">
        <f>N$28*'Model Inputs'!P51</f>
        <v>261.76762095336102</v>
      </c>
      <c r="P32">
        <f>O$28*'Model Inputs'!Q51</f>
        <v>232.69753777061925</v>
      </c>
      <c r="Q32">
        <f>P$28*'Model Inputs'!R51</f>
        <v>246.23768719689852</v>
      </c>
      <c r="R32">
        <f>Q$28*'Model Inputs'!S51</f>
        <v>258.70311697433169</v>
      </c>
      <c r="S32">
        <f>R$28*'Model Inputs'!T51</f>
        <v>271.77190361282203</v>
      </c>
      <c r="T32">
        <f>S$28*'Model Inputs'!U51</f>
        <v>284.3963384308002</v>
      </c>
      <c r="U32">
        <f>T$28*'Model Inputs'!V51</f>
        <v>296.79653779954361</v>
      </c>
      <c r="V32">
        <f>U$28*'Model Inputs'!W51</f>
        <v>303.64927659970056</v>
      </c>
    </row>
    <row r="33" spans="1:22" x14ac:dyDescent="0.45">
      <c r="B33">
        <v>3</v>
      </c>
      <c r="E33">
        <f>C$28*'Model Inputs'!F52</f>
        <v>260.61151787122418</v>
      </c>
      <c r="F33">
        <f>D$28*'Model Inputs'!G52</f>
        <v>247.91164721173777</v>
      </c>
      <c r="G33">
        <f>E$28*'Model Inputs'!H52</f>
        <v>256.47595259218087</v>
      </c>
      <c r="H33">
        <f>F$28*'Model Inputs'!I52</f>
        <v>237.40136124247354</v>
      </c>
      <c r="I33">
        <f>G$28*'Model Inputs'!J52</f>
        <v>264.67117464859598</v>
      </c>
      <c r="J33">
        <f>H$28*'Model Inputs'!K52</f>
        <v>294.90650511293325</v>
      </c>
      <c r="K33">
        <f>I$28*'Model Inputs'!L52</f>
        <v>331.27828749708266</v>
      </c>
      <c r="L33">
        <f>J$28*'Model Inputs'!M52</f>
        <v>327.39821807380747</v>
      </c>
      <c r="M33">
        <f>K$28*'Model Inputs'!N52</f>
        <v>323.64910325870187</v>
      </c>
      <c r="N33">
        <f>L$28*'Model Inputs'!O52</f>
        <v>314.32683312876543</v>
      </c>
      <c r="O33">
        <f>M$28*'Model Inputs'!P52</f>
        <v>313.15203354289014</v>
      </c>
      <c r="P33">
        <f>N$28*'Model Inputs'!Q52</f>
        <v>241.92297843997576</v>
      </c>
      <c r="Q33">
        <f>O$28*'Model Inputs'!R52</f>
        <v>215.05670261314324</v>
      </c>
      <c r="R33">
        <f>P$28*'Model Inputs'!S52</f>
        <v>227.57037128537155</v>
      </c>
      <c r="S33">
        <f>Q$28*'Model Inputs'!T52</f>
        <v>239.09079496614564</v>
      </c>
      <c r="T33">
        <f>R$28*'Model Inputs'!U52</f>
        <v>251.16883493405842</v>
      </c>
      <c r="U33">
        <f>S$28*'Model Inputs'!V52</f>
        <v>262.83620945946149</v>
      </c>
      <c r="V33">
        <f>T$28*'Model Inputs'!W52</f>
        <v>274.29634785858923</v>
      </c>
    </row>
    <row r="34" spans="1:22" x14ac:dyDescent="0.45">
      <c r="B34">
        <v>4</v>
      </c>
      <c r="F34">
        <f>C$28*'Model Inputs'!G53</f>
        <v>201.25777792582505</v>
      </c>
      <c r="G34">
        <f>D$28*'Model Inputs'!H53</f>
        <v>191.45027682321995</v>
      </c>
      <c r="H34">
        <f>E$28*'Model Inputs'!I53</f>
        <v>198.06407917710467</v>
      </c>
      <c r="I34">
        <f>F$28*'Model Inputs'!J53</f>
        <v>183.33368697785357</v>
      </c>
      <c r="J34">
        <f>G$28*'Model Inputs'!K53</f>
        <v>204.39285617880958</v>
      </c>
      <c r="K34">
        <f>H$28*'Model Inputs'!L53</f>
        <v>227.74215199585919</v>
      </c>
      <c r="L34">
        <f>I$28*'Model Inputs'!M53</f>
        <v>255.83033536407339</v>
      </c>
      <c r="M34">
        <f>J$28*'Model Inputs'!N53</f>
        <v>252.8339438127523</v>
      </c>
      <c r="N34">
        <f>K$28*'Model Inputs'!O53</f>
        <v>249.93868222554266</v>
      </c>
      <c r="O34">
        <f>L$28*'Model Inputs'!P53</f>
        <v>242.73954004295362</v>
      </c>
      <c r="P34">
        <f>M$28*'Model Inputs'!Q53</f>
        <v>241.83229865894745</v>
      </c>
      <c r="Q34">
        <f>N$28*'Model Inputs'!R53</f>
        <v>186.82551511052324</v>
      </c>
      <c r="R34">
        <f>O$28*'Model Inputs'!S53</f>
        <v>166.0779786308716</v>
      </c>
      <c r="S34">
        <f>P$28*'Model Inputs'!T53</f>
        <v>175.74168486781974</v>
      </c>
      <c r="T34">
        <f>Q$28*'Model Inputs'!U53</f>
        <v>184.63835562779101</v>
      </c>
      <c r="U34">
        <f>R$28*'Model Inputs'!V53</f>
        <v>193.96564670647066</v>
      </c>
      <c r="V34">
        <f>S$28*'Model Inputs'!W53</f>
        <v>202.97580055688985</v>
      </c>
    </row>
    <row r="35" spans="1:22" x14ac:dyDescent="0.45">
      <c r="B35">
        <v>5</v>
      </c>
      <c r="G35">
        <f>C$28*'Model Inputs'!H54</f>
        <v>146.12996677649642</v>
      </c>
      <c r="H35">
        <f>D$28*'Model Inputs'!I54</f>
        <v>139.00890131977485</v>
      </c>
      <c r="I35">
        <f>E$28*'Model Inputs'!J54</f>
        <v>143.8110745734003</v>
      </c>
      <c r="J35">
        <f>F$28*'Model Inputs'!K54</f>
        <v>133.1155787527386</v>
      </c>
      <c r="K35">
        <f>G$28*'Model Inputs'!L54</f>
        <v>148.40629560051431</v>
      </c>
      <c r="L35">
        <f>H$28*'Model Inputs'!M54</f>
        <v>165.3598357675809</v>
      </c>
      <c r="M35">
        <f>I$28*'Model Inputs'!N54</f>
        <v>185.75420434657829</v>
      </c>
      <c r="N35">
        <f>J$28*'Model Inputs'!O54</f>
        <v>183.57857365862893</v>
      </c>
      <c r="O35">
        <f>K$28*'Model Inputs'!P54</f>
        <v>181.4763717765027</v>
      </c>
      <c r="P35">
        <f>L$28*'Model Inputs'!Q54</f>
        <v>176.2491928878004</v>
      </c>
      <c r="Q35">
        <f>M$28*'Model Inputs'!R54</f>
        <v>175.59045982083813</v>
      </c>
      <c r="R35">
        <f>N$28*'Model Inputs'!S54</f>
        <v>135.65093780457269</v>
      </c>
      <c r="S35">
        <f>O$28*'Model Inputs'!T54</f>
        <v>120.5864923569883</v>
      </c>
      <c r="T35">
        <f>P$28*'Model Inputs'!U54</f>
        <v>127.60315072367024</v>
      </c>
      <c r="U35">
        <f>Q$28*'Model Inputs'!V54</f>
        <v>134.06287722952075</v>
      </c>
      <c r="V35">
        <f>R$28*'Model Inputs'!W54</f>
        <v>140.83527007559755</v>
      </c>
    </row>
    <row r="36" spans="1:22" x14ac:dyDescent="0.45">
      <c r="B36">
        <v>6</v>
      </c>
      <c r="H36">
        <f>C$28*'Model Inputs'!I55</f>
        <v>99.223623101780859</v>
      </c>
      <c r="I36">
        <f>D$28*'Model Inputs'!J55</f>
        <v>94.388352619296214</v>
      </c>
      <c r="J36">
        <f>E$28*'Model Inputs'!K55</f>
        <v>97.64907346593796</v>
      </c>
      <c r="K36">
        <f>F$28*'Model Inputs'!L55</f>
        <v>90.38673111682094</v>
      </c>
      <c r="L36">
        <f>G$28*'Model Inputs'!M55</f>
        <v>100.76927180254</v>
      </c>
      <c r="M36">
        <f>H$28*'Model Inputs'!N55</f>
        <v>112.28088517579702</v>
      </c>
      <c r="N36">
        <f>I$28*'Model Inputs'!O55</f>
        <v>126.12885343254965</v>
      </c>
      <c r="O36">
        <f>J$28*'Model Inputs'!P55</f>
        <v>124.65157971414847</v>
      </c>
      <c r="P36">
        <f>K$28*'Model Inputs'!Q55</f>
        <v>123.22416484615648</v>
      </c>
      <c r="Q36">
        <f>L$28*'Model Inputs'!R55</f>
        <v>119.67486117231476</v>
      </c>
      <c r="R36">
        <f>M$28*'Model Inputs'!S55</f>
        <v>119.2275752185657</v>
      </c>
      <c r="S36">
        <f>N$28*'Model Inputs'!T55</f>
        <v>92.108263780765526</v>
      </c>
      <c r="T36">
        <f>O$28*'Model Inputs'!U55</f>
        <v>81.879363505884555</v>
      </c>
      <c r="U36">
        <f>P$28*'Model Inputs'!V55</f>
        <v>86.643740591348902</v>
      </c>
      <c r="V36">
        <f>Q$28*'Model Inputs'!W55</f>
        <v>91.029955700378721</v>
      </c>
    </row>
    <row r="37" spans="1:22" x14ac:dyDescent="0.45">
      <c r="B37">
        <v>7</v>
      </c>
      <c r="I37">
        <f>C$28*'Model Inputs'!J56</f>
        <v>66.447423375598945</v>
      </c>
      <c r="J37">
        <f>D$28*'Model Inputs'!K56</f>
        <v>63.209371237998404</v>
      </c>
      <c r="K37">
        <f>E$28*'Model Inputs'!L56</f>
        <v>65.392989330478187</v>
      </c>
      <c r="L37">
        <f>F$28*'Model Inputs'!M56</f>
        <v>60.529591666846038</v>
      </c>
      <c r="M37">
        <f>G$28*'Model Inputs'!N56</f>
        <v>67.482503232579532</v>
      </c>
      <c r="N37">
        <f>H$28*'Model Inputs'!O56</f>
        <v>75.191524770367835</v>
      </c>
      <c r="O37">
        <f>I$28*'Model Inputs'!P56</f>
        <v>84.465141081520059</v>
      </c>
      <c r="P37">
        <f>J$28*'Model Inputs'!Q56</f>
        <v>83.475850133057548</v>
      </c>
      <c r="Q37">
        <f>K$28*'Model Inputs'!R56</f>
        <v>82.519948331640805</v>
      </c>
      <c r="R37">
        <f>L$28*'Model Inputs'!S56</f>
        <v>80.1430739893039</v>
      </c>
      <c r="S37">
        <f>M$28*'Model Inputs'!T56</f>
        <v>79.843538473369023</v>
      </c>
      <c r="T37">
        <f>N$28*'Model Inputs'!U56</f>
        <v>61.68245633959345</v>
      </c>
      <c r="U37">
        <f>O$28*'Model Inputs'!V56</f>
        <v>54.832433673775299</v>
      </c>
      <c r="V37">
        <f>P$28*'Model Inputs'!W56</f>
        <v>58.023010387489052</v>
      </c>
    </row>
    <row r="38" spans="1:22" x14ac:dyDescent="0.45">
      <c r="B38">
        <v>8</v>
      </c>
      <c r="J38">
        <f>C$28*'Model Inputs'!K57</f>
        <v>47.185455972641094</v>
      </c>
      <c r="K38">
        <f>D$28*'Model Inputs'!L57</f>
        <v>44.886059565466418</v>
      </c>
      <c r="L38">
        <f>E$28*'Model Inputs'!M57</f>
        <v>46.436684256831114</v>
      </c>
      <c r="M38">
        <f>F$28*'Model Inputs'!N57</f>
        <v>42.983102091009599</v>
      </c>
      <c r="N38">
        <f>G$28*'Model Inputs'!O57</f>
        <v>47.92048394721958</v>
      </c>
      <c r="O38">
        <f>H$28*'Model Inputs'!P57</f>
        <v>53.394792473937109</v>
      </c>
      <c r="P38">
        <f>I$28*'Model Inputs'!Q57</f>
        <v>59.980146606987361</v>
      </c>
      <c r="Q38">
        <f>J$28*'Model Inputs'!R57</f>
        <v>59.277634122358002</v>
      </c>
      <c r="R38">
        <f>K$28*'Model Inputs'!S57</f>
        <v>58.598831844202529</v>
      </c>
      <c r="S38">
        <f>L$28*'Model Inputs'!T57</f>
        <v>56.910972572385774</v>
      </c>
      <c r="T38">
        <f>M$28*'Model Inputs'!U57</f>
        <v>56.698267260706558</v>
      </c>
      <c r="U38">
        <f>N$28*'Model Inputs'!V57</f>
        <v>43.801771085153213</v>
      </c>
      <c r="V38">
        <f>O$28*'Model Inputs'!W57</f>
        <v>38.937452402959579</v>
      </c>
    </row>
    <row r="39" spans="1:22" x14ac:dyDescent="0.45">
      <c r="B39">
        <v>9</v>
      </c>
      <c r="K39">
        <f>C$28*'Model Inputs'!L58</f>
        <v>30.768022463979435</v>
      </c>
      <c r="L39">
        <f>D$28*'Model Inputs'!M58</f>
        <v>29.268664688342707</v>
      </c>
      <c r="M39">
        <f>E$28*'Model Inputs'!N58</f>
        <v>30.279774030271561</v>
      </c>
      <c r="N39">
        <f>F$28*'Model Inputs'!O58</f>
        <v>28.027811185601657</v>
      </c>
      <c r="O39">
        <f>G$28*'Model Inputs'!P58</f>
        <v>31.247309073959361</v>
      </c>
      <c r="P39">
        <f>H$28*'Model Inputs'!Q58</f>
        <v>34.816918485436908</v>
      </c>
      <c r="Q39">
        <f>I$28*'Model Inputs'!R58</f>
        <v>39.111002747681432</v>
      </c>
      <c r="R39">
        <f>J$28*'Model Inputs'!S58</f>
        <v>38.652918376920347</v>
      </c>
      <c r="S39">
        <f>K$28*'Model Inputs'!T58</f>
        <v>38.210294621096146</v>
      </c>
      <c r="T39">
        <f>L$28*'Model Inputs'!U58</f>
        <v>37.109699301610313</v>
      </c>
      <c r="U39">
        <f>M$28*'Model Inputs'!V58</f>
        <v>36.971001440732401</v>
      </c>
      <c r="V39">
        <f>N$28*'Model Inputs'!W58</f>
        <v>28.561637244567354</v>
      </c>
    </row>
    <row r="40" spans="1:22" x14ac:dyDescent="0.45">
      <c r="B40">
        <v>10</v>
      </c>
      <c r="L40">
        <f>C$28*'Model Inputs'!M59</f>
        <v>19.855670747694884</v>
      </c>
      <c r="M40">
        <f>D$28*'Model Inputs'!N59</f>
        <v>18.888083235013749</v>
      </c>
      <c r="N40">
        <f>E$28*'Model Inputs'!O59</f>
        <v>19.540587119745418</v>
      </c>
      <c r="O40">
        <f>F$28*'Model Inputs'!P59</f>
        <v>18.087317484618378</v>
      </c>
      <c r="P40">
        <f>G$28*'Model Inputs'!Q59</f>
        <v>20.164971000341328</v>
      </c>
      <c r="Q40">
        <f>H$28*'Model Inputs'!R59</f>
        <v>22.468563610335934</v>
      </c>
      <c r="R40">
        <f>I$28*'Model Inputs'!S59</f>
        <v>25.239684938455181</v>
      </c>
      <c r="S40">
        <f>J$28*'Model Inputs'!T59</f>
        <v>24.94406722525488</v>
      </c>
      <c r="T40">
        <f>K$28*'Model Inputs'!U59</f>
        <v>24.658426782452864</v>
      </c>
      <c r="U40">
        <f>L$28*'Model Inputs'!V59</f>
        <v>23.948174496471584</v>
      </c>
      <c r="V40">
        <f>M$28*'Model Inputs'!W59</f>
        <v>23.858667962139535</v>
      </c>
    </row>
    <row r="41" spans="1:22" x14ac:dyDescent="0.45">
      <c r="B41">
        <v>11</v>
      </c>
      <c r="M41">
        <f>C$28*'Model Inputs'!N60</f>
        <v>13.047608630677448</v>
      </c>
      <c r="N41">
        <f>D$28*'Model Inputs'!O60</f>
        <v>12.409656329468303</v>
      </c>
      <c r="O41">
        <f>E$28*'Model Inputs'!P60</f>
        <v>12.843856602712997</v>
      </c>
      <c r="P41">
        <f>F$28*'Model Inputs'!Q60</f>
        <v>11.879143673935967</v>
      </c>
      <c r="Q41">
        <f>G$28*'Model Inputs'!R60</f>
        <v>13.251365209382376</v>
      </c>
      <c r="R41">
        <f>H$28*'Model Inputs'!S60</f>
        <v>14.772023918940125</v>
      </c>
      <c r="S41">
        <f>I$28*'Model Inputs'!T60</f>
        <v>16.58209536735767</v>
      </c>
      <c r="T41">
        <f>J$28*'Model Inputs'!U60</f>
        <v>16.376747155962637</v>
      </c>
      <c r="U41">
        <f>K$28*'Model Inputs'!V60</f>
        <v>16.187364968203127</v>
      </c>
      <c r="V41">
        <f>L$28*'Model Inputs'!W60</f>
        <v>15.723833207198208</v>
      </c>
    </row>
    <row r="42" spans="1:22" x14ac:dyDescent="0.45">
      <c r="B42">
        <v>12</v>
      </c>
      <c r="N42">
        <f>C$28*'Model Inputs'!O61</f>
        <v>8.3576923260193574</v>
      </c>
      <c r="O42">
        <f>D$28*'Model Inputs'!P61</f>
        <v>7.946953728523555</v>
      </c>
      <c r="P42">
        <f>E$28*'Model Inputs'!Q61</f>
        <v>8.2304240074665369</v>
      </c>
      <c r="Q42">
        <f>F$28*'Model Inputs'!R61</f>
        <v>7.6028868909943208</v>
      </c>
      <c r="R42">
        <f>G$28*'Model Inputs'!S61</f>
        <v>8.4887099167326436</v>
      </c>
      <c r="S42">
        <f>H$28*'Model Inputs'!T61</f>
        <v>9.4695829094593851</v>
      </c>
      <c r="T42">
        <f>I$28*'Model Inputs'!U61</f>
        <v>10.618303562167421</v>
      </c>
      <c r="U42">
        <f>J$28*'Model Inputs'!V61</f>
        <v>10.475846636801281</v>
      </c>
      <c r="V42">
        <f>K$28*'Model Inputs'!W61</f>
        <v>10.352881669610897</v>
      </c>
    </row>
    <row r="43" spans="1:22" x14ac:dyDescent="0.45">
      <c r="B43">
        <v>13</v>
      </c>
      <c r="O43">
        <f>C$28*'Model Inputs'!P62</f>
        <v>5.6227552751192773</v>
      </c>
      <c r="P43">
        <f>D$28*'Model Inputs'!Q62</f>
        <v>5.3464112742725343</v>
      </c>
      <c r="Q43">
        <f>E$28*'Model Inputs'!R62</f>
        <v>5.537155124867235</v>
      </c>
      <c r="R43">
        <f>F$28*'Model Inputs'!S62</f>
        <v>5.114907467156395</v>
      </c>
      <c r="S43">
        <f>G$28*'Model Inputs'!T62</f>
        <v>5.710902506482106</v>
      </c>
      <c r="T43">
        <f>H$28*'Model Inputs'!U62</f>
        <v>6.3708435393930332</v>
      </c>
      <c r="U43">
        <f>I$28*'Model Inputs'!V62</f>
        <v>7.1435908044012058</v>
      </c>
      <c r="V43">
        <f>J$28*'Model Inputs'!W62</f>
        <v>7.0476788858048716</v>
      </c>
    </row>
    <row r="44" spans="1:22" x14ac:dyDescent="0.45">
      <c r="B44">
        <v>14</v>
      </c>
      <c r="P44">
        <f>C$28*'Model Inputs'!Q63</f>
        <v>4.8504366442451898</v>
      </c>
      <c r="Q44">
        <f>D$28*'Model Inputs'!R63</f>
        <v>4.6120422253678335</v>
      </c>
      <c r="R44">
        <f>E$28*'Model Inputs'!S63</f>
        <v>4.7766064105262291</v>
      </c>
      <c r="S44">
        <f>F$28*'Model Inputs'!T63</f>
        <v>4.4123208368059457</v>
      </c>
      <c r="T44">
        <f>G$28*'Model Inputs'!U63</f>
        <v>4.9264782192894945</v>
      </c>
      <c r="U44">
        <f>H$28*'Model Inputs'!V63</f>
        <v>5.4957981150723807</v>
      </c>
      <c r="V44">
        <f>I$28*'Model Inputs'!W63</f>
        <v>6.1623635600652715</v>
      </c>
    </row>
    <row r="45" spans="1:22" x14ac:dyDescent="0.45">
      <c r="B45">
        <v>15</v>
      </c>
      <c r="Q45">
        <f>C$28*'Model Inputs'!R64</f>
        <v>4.867161761898358</v>
      </c>
      <c r="R45">
        <f>D$28*'Model Inputs'!S64</f>
        <v>4.6279390141654657</v>
      </c>
      <c r="S45">
        <f>E$28*'Model Inputs'!T64</f>
        <v>4.793086712919588</v>
      </c>
      <c r="T45">
        <f>F$28*'Model Inputs'!U64</f>
        <v>4.4275161830618952</v>
      </c>
      <c r="U45">
        <f>G$28*'Model Inputs'!V64</f>
        <v>4.943467046860583</v>
      </c>
      <c r="V45">
        <f>H$28*'Model Inputs'!W64</f>
        <v>5.5147705372939742</v>
      </c>
    </row>
    <row r="46" spans="1:22" x14ac:dyDescent="0.45">
      <c r="B46" t="s">
        <v>141</v>
      </c>
      <c r="R46">
        <f>C$28*'Model Inputs'!S65</f>
        <v>8.1789350141009365</v>
      </c>
      <c r="S46">
        <f>D$28*'Model Inputs'!T65</f>
        <v>7.7769121107412653</v>
      </c>
      <c r="T46">
        <f>E$28*'Model Inputs'!U65</f>
        <v>8.0544961183874815</v>
      </c>
      <c r="U46">
        <f>F$28*'Model Inputs'!V65</f>
        <v>7.4400638810548703</v>
      </c>
      <c r="V46">
        <f>G$28*'Model Inputs'!W65</f>
        <v>8.3071669119613958</v>
      </c>
    </row>
    <row r="47" spans="1:22" x14ac:dyDescent="0.45">
      <c r="A47" s="6"/>
      <c r="B47" s="6" t="s">
        <v>21</v>
      </c>
      <c r="C47" s="6">
        <f t="shared" ref="C47:U47" si="14">SUM(C31:C46)</f>
        <v>235.03704949308997</v>
      </c>
      <c r="D47" s="6">
        <f t="shared" si="14"/>
        <v>505.57260745510996</v>
      </c>
      <c r="E47" s="6">
        <f t="shared" si="14"/>
        <v>760.16636839428861</v>
      </c>
      <c r="F47" s="6">
        <f t="shared" si="14"/>
        <v>940.78834702750885</v>
      </c>
      <c r="G47" s="6">
        <f t="shared" si="14"/>
        <v>1089.6296191528568</v>
      </c>
      <c r="H47" s="6">
        <f t="shared" si="14"/>
        <v>1226.0463711520561</v>
      </c>
      <c r="I47" s="6">
        <f t="shared" si="14"/>
        <v>1370.5181429572324</v>
      </c>
      <c r="J47" s="6">
        <f t="shared" si="14"/>
        <v>1494.1812777797768</v>
      </c>
      <c r="K47" s="6">
        <f t="shared" si="14"/>
        <v>1585.0034232311084</v>
      </c>
      <c r="L47" s="6">
        <f t="shared" si="14"/>
        <v>1639.1270558164449</v>
      </c>
      <c r="M47" s="6">
        <f t="shared" si="14"/>
        <v>1669.7315133240725</v>
      </c>
      <c r="N47" s="6">
        <f t="shared" si="14"/>
        <v>1622.4426691903036</v>
      </c>
      <c r="O47" s="6">
        <f t="shared" si="14"/>
        <v>1531.3479153969579</v>
      </c>
      <c r="P47" s="6">
        <f t="shared" si="14"/>
        <v>1449.908788744232</v>
      </c>
      <c r="Q47" s="6">
        <f t="shared" si="14"/>
        <v>1398.2611955769594</v>
      </c>
      <c r="R47" s="6">
        <f t="shared" si="14"/>
        <v>1382.3446117550977</v>
      </c>
      <c r="S47" s="6">
        <f t="shared" si="14"/>
        <v>1384.9963393810394</v>
      </c>
      <c r="T47" s="6">
        <f t="shared" si="14"/>
        <v>1407.9882301349267</v>
      </c>
      <c r="U47" s="6">
        <f t="shared" si="14"/>
        <v>1438.6352119677524</v>
      </c>
      <c r="V47" s="6">
        <f>SUM(V31:V46)</f>
        <v>1471.4043713533313</v>
      </c>
    </row>
    <row r="48" spans="1:22" x14ac:dyDescent="0.45">
      <c r="B48" s="9" t="s">
        <v>142</v>
      </c>
    </row>
    <row r="49" spans="1:22" x14ac:dyDescent="0.45">
      <c r="A49" t="s">
        <v>119</v>
      </c>
      <c r="B49" s="9" t="s">
        <v>23</v>
      </c>
      <c r="H49">
        <v>1592</v>
      </c>
      <c r="I49">
        <v>1505</v>
      </c>
      <c r="J49">
        <v>1557</v>
      </c>
      <c r="K49">
        <v>1426</v>
      </c>
      <c r="L49">
        <v>1429</v>
      </c>
      <c r="M49">
        <v>1372</v>
      </c>
      <c r="N49">
        <v>1407.3071026086268</v>
      </c>
      <c r="O49">
        <v>1475.7896540991208</v>
      </c>
      <c r="P49">
        <v>1578.6446874294891</v>
      </c>
      <c r="Q49">
        <v>1652.923983636349</v>
      </c>
      <c r="R49">
        <v>1719.1233323618239</v>
      </c>
      <c r="S49">
        <v>1764.0180514162278</v>
      </c>
      <c r="T49">
        <v>1833.291642906227</v>
      </c>
      <c r="U49">
        <v>1897.7995296097879</v>
      </c>
      <c r="V49">
        <v>1928.2461885989121</v>
      </c>
    </row>
    <row r="50" spans="1:22" x14ac:dyDescent="0.45">
      <c r="B50" s="9" t="s">
        <v>134</v>
      </c>
      <c r="L50" s="19">
        <f t="shared" ref="L50:V50" si="15">ABS(L49-L47)/L49</f>
        <v>0.14704482562382429</v>
      </c>
      <c r="M50" s="19">
        <f t="shared" si="15"/>
        <v>0.21700547618372629</v>
      </c>
      <c r="N50" s="19">
        <f t="shared" si="15"/>
        <v>0.15287037646786195</v>
      </c>
      <c r="O50" s="19">
        <f t="shared" si="15"/>
        <v>3.7646463466876688E-2</v>
      </c>
      <c r="P50" s="19">
        <f t="shared" si="15"/>
        <v>8.1548368489984951E-2</v>
      </c>
      <c r="Q50" s="19">
        <f t="shared" si="15"/>
        <v>0.15406805792674411</v>
      </c>
      <c r="R50" s="19">
        <f t="shared" si="15"/>
        <v>0.19590143084384848</v>
      </c>
      <c r="S50" s="19">
        <f t="shared" si="15"/>
        <v>0.21486271738029766</v>
      </c>
      <c r="T50" s="19">
        <f t="shared" si="15"/>
        <v>0.23198895517632306</v>
      </c>
      <c r="U50" s="19">
        <f t="shared" si="15"/>
        <v>0.24194563781794465</v>
      </c>
      <c r="V50" s="19">
        <f t="shared" si="15"/>
        <v>0.23692089731422097</v>
      </c>
    </row>
    <row r="52" spans="1:22" x14ac:dyDescent="0.45">
      <c r="B52" s="6" t="s">
        <v>24</v>
      </c>
      <c r="C52">
        <v>2010</v>
      </c>
      <c r="D52">
        <v>2011</v>
      </c>
      <c r="E52">
        <v>2012</v>
      </c>
      <c r="F52">
        <v>2013</v>
      </c>
      <c r="G52">
        <f>F52+1</f>
        <v>2014</v>
      </c>
      <c r="H52">
        <f t="shared" ref="H52:V52" si="16">G52+1</f>
        <v>2015</v>
      </c>
      <c r="I52">
        <f t="shared" si="16"/>
        <v>2016</v>
      </c>
      <c r="J52">
        <f t="shared" si="16"/>
        <v>2017</v>
      </c>
      <c r="K52">
        <f t="shared" si="16"/>
        <v>2018</v>
      </c>
      <c r="L52">
        <f t="shared" si="16"/>
        <v>2019</v>
      </c>
      <c r="M52">
        <f t="shared" si="16"/>
        <v>2020</v>
      </c>
      <c r="N52">
        <f t="shared" si="16"/>
        <v>2021</v>
      </c>
      <c r="O52">
        <f t="shared" si="16"/>
        <v>2022</v>
      </c>
      <c r="P52">
        <f t="shared" si="16"/>
        <v>2023</v>
      </c>
      <c r="Q52">
        <f t="shared" si="16"/>
        <v>2024</v>
      </c>
      <c r="R52">
        <f t="shared" si="16"/>
        <v>2025</v>
      </c>
      <c r="S52">
        <f t="shared" si="16"/>
        <v>2026</v>
      </c>
      <c r="T52">
        <f t="shared" si="16"/>
        <v>2027</v>
      </c>
      <c r="U52">
        <f t="shared" si="16"/>
        <v>2028</v>
      </c>
      <c r="V52">
        <f t="shared" si="16"/>
        <v>2029</v>
      </c>
    </row>
    <row r="53" spans="1:22" x14ac:dyDescent="0.45">
      <c r="A53" t="s">
        <v>122</v>
      </c>
      <c r="B53" t="s">
        <v>90</v>
      </c>
      <c r="G53">
        <v>2.5</v>
      </c>
      <c r="H53">
        <v>2.5</v>
      </c>
      <c r="I53">
        <v>2.4</v>
      </c>
      <c r="J53">
        <v>2.5</v>
      </c>
      <c r="K53">
        <v>2.5</v>
      </c>
      <c r="L53">
        <v>2.2999999999999998</v>
      </c>
      <c r="M53">
        <v>1.5</v>
      </c>
    </row>
    <row r="54" spans="1:22" x14ac:dyDescent="0.45">
      <c r="A54" t="s">
        <v>121</v>
      </c>
      <c r="B54" t="s">
        <v>143</v>
      </c>
      <c r="D54">
        <v>3.145</v>
      </c>
      <c r="E54">
        <v>2.4225000000000003</v>
      </c>
      <c r="F54">
        <v>2.9349999999999996</v>
      </c>
      <c r="G54">
        <v>2.71</v>
      </c>
      <c r="H54">
        <v>2.1799999999999997</v>
      </c>
      <c r="I54">
        <v>1.9349999999999998</v>
      </c>
      <c r="J54">
        <v>2.2575000000000003</v>
      </c>
      <c r="K54">
        <v>2.2450000000000001</v>
      </c>
      <c r="L54">
        <v>1.7025000000000001</v>
      </c>
      <c r="M54">
        <v>1.1825000000000001</v>
      </c>
      <c r="N54">
        <v>1.94865003099814</v>
      </c>
      <c r="O54">
        <v>2.1991938546187226</v>
      </c>
      <c r="P54">
        <v>2.5105438236205826</v>
      </c>
      <c r="Q54">
        <v>2.8218937926224426</v>
      </c>
      <c r="R54">
        <v>3.1332437616243025</v>
      </c>
      <c r="S54">
        <v>3.25</v>
      </c>
      <c r="T54">
        <v>3.25</v>
      </c>
      <c r="U54">
        <v>3.25</v>
      </c>
      <c r="V54">
        <v>3.25</v>
      </c>
    </row>
    <row r="55" spans="1:22" x14ac:dyDescent="0.45">
      <c r="B55" t="s">
        <v>144</v>
      </c>
      <c r="G55">
        <f t="shared" ref="G55:M55" si="17">G53-G54</f>
        <v>-0.20999999999999996</v>
      </c>
      <c r="H55">
        <f t="shared" si="17"/>
        <v>0.32000000000000028</v>
      </c>
      <c r="I55">
        <f t="shared" si="17"/>
        <v>0.46500000000000008</v>
      </c>
      <c r="J55">
        <f t="shared" si="17"/>
        <v>0.24249999999999972</v>
      </c>
      <c r="K55">
        <f t="shared" si="17"/>
        <v>0.25499999999999989</v>
      </c>
      <c r="L55">
        <f t="shared" si="17"/>
        <v>0.5974999999999997</v>
      </c>
      <c r="M55">
        <f t="shared" si="17"/>
        <v>0.31749999999999989</v>
      </c>
    </row>
    <row r="56" spans="1:22" x14ac:dyDescent="0.45">
      <c r="B56" t="s">
        <v>91</v>
      </c>
      <c r="D56" s="5">
        <f t="shared" ref="D56:V56" si="18">D54+MEDIAN($G$55:$M$55)</f>
        <v>3.4624999999999999</v>
      </c>
      <c r="E56" s="5">
        <f t="shared" si="18"/>
        <v>2.74</v>
      </c>
      <c r="F56" s="5">
        <f t="shared" si="18"/>
        <v>3.2524999999999995</v>
      </c>
      <c r="G56">
        <f t="shared" si="18"/>
        <v>3.0274999999999999</v>
      </c>
      <c r="H56">
        <f t="shared" si="18"/>
        <v>2.4974999999999996</v>
      </c>
      <c r="I56">
        <f t="shared" si="18"/>
        <v>2.2524999999999995</v>
      </c>
      <c r="J56">
        <f t="shared" si="18"/>
        <v>2.5750000000000002</v>
      </c>
      <c r="K56">
        <f t="shared" si="18"/>
        <v>2.5625</v>
      </c>
      <c r="L56">
        <f t="shared" si="18"/>
        <v>2.02</v>
      </c>
      <c r="M56">
        <f t="shared" si="18"/>
        <v>1.5</v>
      </c>
      <c r="N56" s="5">
        <f t="shared" si="18"/>
        <v>2.2661500309981397</v>
      </c>
      <c r="O56" s="5">
        <f t="shared" si="18"/>
        <v>2.5166938546187225</v>
      </c>
      <c r="P56" s="5">
        <f t="shared" si="18"/>
        <v>2.8280438236205825</v>
      </c>
      <c r="Q56" s="5">
        <f t="shared" si="18"/>
        <v>3.1393937926224424</v>
      </c>
      <c r="R56" s="5">
        <f t="shared" si="18"/>
        <v>3.4507437616243024</v>
      </c>
      <c r="S56" s="5">
        <f t="shared" si="18"/>
        <v>3.5674999999999999</v>
      </c>
      <c r="T56" s="5">
        <f t="shared" si="18"/>
        <v>3.5674999999999999</v>
      </c>
      <c r="U56" s="5">
        <f t="shared" si="18"/>
        <v>3.5674999999999999</v>
      </c>
      <c r="V56" s="5">
        <f t="shared" si="18"/>
        <v>3.5674999999999999</v>
      </c>
    </row>
    <row r="57" spans="1:22" x14ac:dyDescent="0.45">
      <c r="A57" t="s">
        <v>120</v>
      </c>
      <c r="B57" t="s">
        <v>118</v>
      </c>
      <c r="D57" s="5">
        <f>D56</f>
        <v>3.4624999999999999</v>
      </c>
      <c r="E57" s="5">
        <f>E56</f>
        <v>2.74</v>
      </c>
      <c r="F57" s="5">
        <f>F56</f>
        <v>3.2524999999999995</v>
      </c>
      <c r="G57">
        <f t="shared" ref="G57:M57" si="19">G53</f>
        <v>2.5</v>
      </c>
      <c r="H57">
        <f t="shared" si="19"/>
        <v>2.5</v>
      </c>
      <c r="I57">
        <f t="shared" si="19"/>
        <v>2.4</v>
      </c>
      <c r="J57">
        <f t="shared" si="19"/>
        <v>2.5</v>
      </c>
      <c r="K57">
        <f t="shared" si="19"/>
        <v>2.5</v>
      </c>
      <c r="L57">
        <f t="shared" si="19"/>
        <v>2.2999999999999998</v>
      </c>
      <c r="M57">
        <f t="shared" si="19"/>
        <v>1.5</v>
      </c>
      <c r="N57" s="5">
        <f>N56</f>
        <v>2.2661500309981397</v>
      </c>
      <c r="O57" s="5">
        <f t="shared" ref="O57:V57" si="20">O56</f>
        <v>2.5166938546187225</v>
      </c>
      <c r="P57" s="5">
        <f t="shared" si="20"/>
        <v>2.8280438236205825</v>
      </c>
      <c r="Q57" s="5">
        <f t="shared" si="20"/>
        <v>3.1393937926224424</v>
      </c>
      <c r="R57" s="5">
        <f t="shared" si="20"/>
        <v>3.4507437616243024</v>
      </c>
      <c r="S57" s="5">
        <f t="shared" si="20"/>
        <v>3.5674999999999999</v>
      </c>
      <c r="T57" s="5">
        <f t="shared" si="20"/>
        <v>3.5674999999999999</v>
      </c>
      <c r="U57" s="5">
        <f t="shared" si="20"/>
        <v>3.5674999999999999</v>
      </c>
      <c r="V57" s="5">
        <f t="shared" si="20"/>
        <v>3.5674999999999999</v>
      </c>
    </row>
    <row r="58" spans="1:22" x14ac:dyDescent="0.45">
      <c r="B58" t="s">
        <v>92</v>
      </c>
      <c r="D58">
        <f t="shared" ref="D58:V58" si="21">D28*D57/100</f>
        <v>47.34729252249209</v>
      </c>
      <c r="E58">
        <f t="shared" si="21"/>
        <v>38.763167831979843</v>
      </c>
      <c r="F58">
        <f t="shared" si="21"/>
        <v>42.588973820952013</v>
      </c>
      <c r="G58">
        <f t="shared" si="21"/>
        <v>36.49738599826162</v>
      </c>
      <c r="H58">
        <f t="shared" si="21"/>
        <v>40.668132597356383</v>
      </c>
      <c r="I58">
        <f t="shared" si="21"/>
        <v>43.854226133416375</v>
      </c>
      <c r="J58">
        <f t="shared" si="21"/>
        <v>45.144201108831311</v>
      </c>
      <c r="K58">
        <f t="shared" si="21"/>
        <v>44.6268715962687</v>
      </c>
      <c r="L58">
        <f t="shared" si="21"/>
        <v>39.874644099172606</v>
      </c>
      <c r="M58">
        <f t="shared" si="21"/>
        <v>25.907128454796013</v>
      </c>
      <c r="N58">
        <f t="shared" si="21"/>
        <v>30.236021692535186</v>
      </c>
      <c r="O58">
        <f t="shared" si="21"/>
        <v>29.851277243224107</v>
      </c>
      <c r="P58">
        <f t="shared" si="21"/>
        <v>35.496162166150981</v>
      </c>
      <c r="Q58">
        <f t="shared" si="21"/>
        <v>41.398842444346421</v>
      </c>
      <c r="R58">
        <f t="shared" si="21"/>
        <v>47.803314425474326</v>
      </c>
      <c r="S58">
        <f t="shared" si="21"/>
        <v>51.716452151506864</v>
      </c>
      <c r="T58">
        <f t="shared" si="21"/>
        <v>53.971383845990715</v>
      </c>
      <c r="U58">
        <f t="shared" si="21"/>
        <v>55.217529771147632</v>
      </c>
      <c r="V58">
        <f t="shared" si="21"/>
        <v>55.880245179484746</v>
      </c>
    </row>
    <row r="59" spans="1:22" x14ac:dyDescent="0.45">
      <c r="B59" s="6" t="s">
        <v>4</v>
      </c>
      <c r="C59" s="6"/>
      <c r="D59" s="6"/>
      <c r="E59" s="6"/>
      <c r="F59" s="6"/>
      <c r="G59" s="6"/>
      <c r="H59" s="6"/>
      <c r="I59" s="6"/>
      <c r="J59" s="6"/>
      <c r="K59" s="6"/>
      <c r="L59" s="6">
        <f t="shared" ref="L59:V59" si="22">SUM(E58:L58)</f>
        <v>332.01760318623889</v>
      </c>
      <c r="M59" s="6">
        <f t="shared" si="22"/>
        <v>319.16156380905505</v>
      </c>
      <c r="N59" s="6">
        <f t="shared" si="22"/>
        <v>306.80861168063819</v>
      </c>
      <c r="O59" s="6">
        <f t="shared" si="22"/>
        <v>300.16250292560068</v>
      </c>
      <c r="P59" s="6">
        <f t="shared" si="22"/>
        <v>294.99053249439532</v>
      </c>
      <c r="Q59" s="6">
        <f t="shared" si="22"/>
        <v>292.53514880532532</v>
      </c>
      <c r="R59" s="6">
        <f t="shared" si="22"/>
        <v>295.19426212196834</v>
      </c>
      <c r="S59" s="6">
        <f t="shared" si="22"/>
        <v>302.28384267720651</v>
      </c>
      <c r="T59" s="6">
        <f t="shared" si="22"/>
        <v>316.38058242402462</v>
      </c>
      <c r="U59" s="6">
        <f t="shared" si="22"/>
        <v>345.69098374037623</v>
      </c>
      <c r="V59" s="6">
        <f t="shared" si="22"/>
        <v>371.33520722732578</v>
      </c>
    </row>
    <row r="60" spans="1:22" x14ac:dyDescent="0.45">
      <c r="A60" s="6"/>
      <c r="B60" s="9" t="s">
        <v>142</v>
      </c>
    </row>
    <row r="61" spans="1:22" x14ac:dyDescent="0.45">
      <c r="A61" t="s">
        <v>119</v>
      </c>
      <c r="B61" s="22" t="s">
        <v>25</v>
      </c>
      <c r="L61">
        <v>446</v>
      </c>
      <c r="M61">
        <v>349</v>
      </c>
      <c r="N61">
        <v>298.23263506342647</v>
      </c>
      <c r="O61">
        <v>304.93189671850416</v>
      </c>
      <c r="P61">
        <v>291.3038125976579</v>
      </c>
      <c r="Q61">
        <v>314.9241467585079</v>
      </c>
      <c r="R61">
        <v>348.77143617149119</v>
      </c>
      <c r="S61">
        <v>391.45483314137618</v>
      </c>
      <c r="T61">
        <v>440.42588330972501</v>
      </c>
      <c r="U61">
        <v>492.80241481999803</v>
      </c>
      <c r="V61">
        <v>546.09832705167901</v>
      </c>
    </row>
    <row r="62" spans="1:22" x14ac:dyDescent="0.45">
      <c r="A62" s="6"/>
      <c r="B62" s="9" t="s">
        <v>134</v>
      </c>
      <c r="L62" s="19">
        <f t="shared" ref="L62:V62" si="23">ABS(L59/L61-1)</f>
        <v>0.25556591213847779</v>
      </c>
      <c r="M62" s="19">
        <f t="shared" si="23"/>
        <v>8.5496951836518509E-2</v>
      </c>
      <c r="N62" s="19">
        <f t="shared" si="23"/>
        <v>2.8755996523947891E-2</v>
      </c>
      <c r="O62" s="19">
        <f t="shared" si="23"/>
        <v>1.5640849134606394E-2</v>
      </c>
      <c r="P62" s="19">
        <f t="shared" si="23"/>
        <v>1.2655927376513443E-2</v>
      </c>
      <c r="Q62" s="19">
        <f t="shared" si="23"/>
        <v>7.1093303526042595E-2</v>
      </c>
      <c r="R62" s="19">
        <f t="shared" si="23"/>
        <v>0.15361686334651248</v>
      </c>
      <c r="S62" s="19">
        <f t="shared" si="23"/>
        <v>0.22779381659075093</v>
      </c>
      <c r="T62" s="19">
        <f t="shared" si="23"/>
        <v>0.28164852608915991</v>
      </c>
      <c r="U62" s="19">
        <f t="shared" si="23"/>
        <v>0.29852010999856005</v>
      </c>
      <c r="V62" s="19">
        <f t="shared" si="23"/>
        <v>0.320021342617691</v>
      </c>
    </row>
    <row r="64" spans="1:22" x14ac:dyDescent="0.45">
      <c r="B64" s="6" t="s">
        <v>37</v>
      </c>
      <c r="C64">
        <v>2010</v>
      </c>
      <c r="D64">
        <v>2011</v>
      </c>
      <c r="E64">
        <v>2012</v>
      </c>
      <c r="F64">
        <v>2013</v>
      </c>
      <c r="G64">
        <f>F64+1</f>
        <v>2014</v>
      </c>
      <c r="H64">
        <f t="shared" ref="H64:V64" si="24">G64+1</f>
        <v>2015</v>
      </c>
      <c r="I64">
        <f t="shared" si="24"/>
        <v>2016</v>
      </c>
      <c r="J64">
        <f t="shared" si="24"/>
        <v>2017</v>
      </c>
      <c r="K64">
        <f t="shared" si="24"/>
        <v>2018</v>
      </c>
      <c r="L64">
        <f t="shared" si="24"/>
        <v>2019</v>
      </c>
      <c r="M64">
        <f t="shared" si="24"/>
        <v>2020</v>
      </c>
      <c r="N64">
        <f t="shared" si="24"/>
        <v>2021</v>
      </c>
      <c r="O64">
        <f t="shared" si="24"/>
        <v>2022</v>
      </c>
      <c r="P64">
        <f t="shared" si="24"/>
        <v>2023</v>
      </c>
      <c r="Q64">
        <f t="shared" si="24"/>
        <v>2024</v>
      </c>
      <c r="R64">
        <f t="shared" si="24"/>
        <v>2025</v>
      </c>
      <c r="S64">
        <f t="shared" si="24"/>
        <v>2026</v>
      </c>
      <c r="T64">
        <f t="shared" si="24"/>
        <v>2027</v>
      </c>
      <c r="U64">
        <f t="shared" si="24"/>
        <v>2028</v>
      </c>
      <c r="V64">
        <f t="shared" si="24"/>
        <v>2029</v>
      </c>
    </row>
    <row r="65" spans="1:22" x14ac:dyDescent="0.45">
      <c r="A65" t="s">
        <v>119</v>
      </c>
      <c r="B65" t="s">
        <v>38</v>
      </c>
      <c r="H65">
        <v>290</v>
      </c>
      <c r="I65">
        <v>335</v>
      </c>
      <c r="J65">
        <v>147</v>
      </c>
      <c r="K65">
        <v>210</v>
      </c>
      <c r="L65">
        <v>191</v>
      </c>
      <c r="M65">
        <v>472</v>
      </c>
      <c r="N65">
        <v>-213.41945741539615</v>
      </c>
      <c r="O65">
        <v>154.77543243269523</v>
      </c>
      <c r="P65">
        <v>126.71882568630808</v>
      </c>
      <c r="Q65">
        <v>126.86345324303898</v>
      </c>
      <c r="R65">
        <v>151.7274176274006</v>
      </c>
      <c r="S65">
        <v>163.58790004873623</v>
      </c>
      <c r="T65">
        <v>170.90280466223598</v>
      </c>
      <c r="U65">
        <v>176.03047548457394</v>
      </c>
      <c r="V65">
        <v>181.58724706092778</v>
      </c>
    </row>
    <row r="66" spans="1:22" x14ac:dyDescent="0.45">
      <c r="B66" s="7" t="s">
        <v>76</v>
      </c>
      <c r="H66" s="19">
        <f t="shared" ref="H66:V66" si="25">H65/H49</f>
        <v>0.18216080402010051</v>
      </c>
      <c r="I66" s="19">
        <f t="shared" si="25"/>
        <v>0.22259136212624583</v>
      </c>
      <c r="J66" s="19">
        <f t="shared" si="25"/>
        <v>9.4412331406551059E-2</v>
      </c>
      <c r="K66" s="19">
        <f t="shared" si="25"/>
        <v>0.14726507713884993</v>
      </c>
      <c r="L66" s="19">
        <f t="shared" si="25"/>
        <v>0.13365990202939118</v>
      </c>
      <c r="M66" s="19">
        <f t="shared" si="25"/>
        <v>0.34402332361516036</v>
      </c>
      <c r="N66" s="19">
        <f t="shared" si="25"/>
        <v>-0.15165094883682134</v>
      </c>
      <c r="O66" s="19">
        <f t="shared" si="25"/>
        <v>0.10487635009690874</v>
      </c>
      <c r="P66" s="19">
        <f t="shared" si="25"/>
        <v>8.0270643986801518E-2</v>
      </c>
      <c r="Q66" s="19">
        <f t="shared" si="25"/>
        <v>7.675093016918165E-2</v>
      </c>
      <c r="R66" s="19">
        <f t="shared" si="25"/>
        <v>8.8258599468223911E-2</v>
      </c>
      <c r="S66" s="19">
        <f t="shared" si="25"/>
        <v>9.2735955801246481E-2</v>
      </c>
      <c r="T66" s="19">
        <f t="shared" si="25"/>
        <v>9.3221831520113277E-2</v>
      </c>
      <c r="U66" s="19">
        <f t="shared" si="25"/>
        <v>9.2755042215005759E-2</v>
      </c>
      <c r="V66" s="19">
        <f t="shared" si="25"/>
        <v>9.4172231810747853E-2</v>
      </c>
    </row>
    <row r="67" spans="1:22" x14ac:dyDescent="0.45">
      <c r="A67" t="s">
        <v>124</v>
      </c>
      <c r="B67" s="6" t="s">
        <v>39</v>
      </c>
      <c r="L67" s="6">
        <f>'Estimate - Baseline'!L67</f>
        <v>191</v>
      </c>
      <c r="M67" s="6">
        <f>'Estimate - Baseline'!M67</f>
        <v>472</v>
      </c>
      <c r="N67" s="6">
        <f>'Estimate - Baseline'!N67</f>
        <v>-213.41945741539615</v>
      </c>
      <c r="O67" s="6">
        <f>'Estimate - Baseline'!O67</f>
        <v>167.38252854778054</v>
      </c>
      <c r="P67" s="6">
        <f>'Estimate - Baseline'!P67</f>
        <v>128.10290981856301</v>
      </c>
      <c r="Q67" s="6">
        <f>'Estimate - Baseline'!Q67</f>
        <v>124.63599376674782</v>
      </c>
      <c r="R67" s="6">
        <f>'Estimate - Baseline'!R67</f>
        <v>147.85981712357352</v>
      </c>
      <c r="S67" s="6">
        <f>'Estimate - Baseline'!S67</f>
        <v>160.71831468070721</v>
      </c>
      <c r="T67" s="6">
        <f>'Estimate - Baseline'!T67</f>
        <v>167.83129314353596</v>
      </c>
      <c r="U67" s="6">
        <f>'Estimate - Baseline'!U67</f>
        <v>173.08504470186642</v>
      </c>
      <c r="V67" s="6">
        <f>'Estimate - Baseline'!V67</f>
        <v>181.44127757899656</v>
      </c>
    </row>
    <row r="68" spans="1:22" x14ac:dyDescent="0.45">
      <c r="B68" s="7"/>
    </row>
    <row r="78" spans="1:22" s="6" customFormat="1" x14ac:dyDescent="0.45"/>
    <row r="79" spans="1:22" s="6" customFormat="1" x14ac:dyDescent="0.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A9AD0-5BDB-494C-8D5D-99F82C33344F}">
  <dimension ref="A1:AD79"/>
  <sheetViews>
    <sheetView tabSelected="1" zoomScale="63" workbookViewId="0">
      <selection activeCell="U1" sqref="U1"/>
    </sheetView>
  </sheetViews>
  <sheetFormatPr defaultRowHeight="14.25" x14ac:dyDescent="0.45"/>
  <cols>
    <col min="1" max="1" width="18" customWidth="1"/>
    <col min="2" max="2" width="33.33203125" customWidth="1"/>
    <col min="3" max="3" width="11" bestFit="1" customWidth="1"/>
    <col min="4" max="11" width="9.73046875" bestFit="1" customWidth="1"/>
    <col min="12" max="12" width="10.86328125" bestFit="1" customWidth="1"/>
    <col min="13" max="20" width="9.73046875" bestFit="1" customWidth="1"/>
    <col min="21" max="21" width="9.1328125" bestFit="1" customWidth="1"/>
    <col min="22" max="22" width="9.73046875" bestFit="1" customWidth="1"/>
    <col min="23" max="30" width="9.1328125" bestFit="1" customWidth="1"/>
  </cols>
  <sheetData>
    <row r="1" spans="1:30" x14ac:dyDescent="0.45">
      <c r="A1" t="s">
        <v>26</v>
      </c>
      <c r="E1" s="8" t="s">
        <v>40</v>
      </c>
      <c r="F1" s="13">
        <v>0</v>
      </c>
      <c r="K1" s="8" t="s">
        <v>74</v>
      </c>
      <c r="L1">
        <v>25</v>
      </c>
    </row>
    <row r="2" spans="1:30" x14ac:dyDescent="0.45">
      <c r="E2" s="8" t="s">
        <v>75</v>
      </c>
      <c r="F2">
        <v>0</v>
      </c>
      <c r="K2" s="8" t="s">
        <v>126</v>
      </c>
      <c r="L2">
        <f>'Estimate - Fiscal Costs'!J14</f>
        <v>-1366.0177117559724</v>
      </c>
    </row>
    <row r="4" spans="1:30" x14ac:dyDescent="0.45">
      <c r="C4">
        <v>2010</v>
      </c>
      <c r="D4">
        <v>2011</v>
      </c>
      <c r="E4">
        <v>2012</v>
      </c>
      <c r="F4">
        <v>2013</v>
      </c>
      <c r="G4">
        <f>F4+1</f>
        <v>2014</v>
      </c>
      <c r="H4">
        <f t="shared" ref="H4:V4" si="0">G4+1</f>
        <v>2015</v>
      </c>
      <c r="I4">
        <f t="shared" si="0"/>
        <v>2016</v>
      </c>
      <c r="J4">
        <f t="shared" si="0"/>
        <v>2017</v>
      </c>
      <c r="K4">
        <f t="shared" si="0"/>
        <v>2018</v>
      </c>
      <c r="L4">
        <f t="shared" si="0"/>
        <v>2019</v>
      </c>
      <c r="M4">
        <f t="shared" si="0"/>
        <v>2020</v>
      </c>
      <c r="N4">
        <f t="shared" si="0"/>
        <v>2021</v>
      </c>
      <c r="O4">
        <f t="shared" si="0"/>
        <v>2022</v>
      </c>
      <c r="P4">
        <f t="shared" si="0"/>
        <v>2023</v>
      </c>
      <c r="Q4">
        <f t="shared" si="0"/>
        <v>2024</v>
      </c>
      <c r="R4">
        <f t="shared" si="0"/>
        <v>2025</v>
      </c>
      <c r="S4">
        <f t="shared" si="0"/>
        <v>2026</v>
      </c>
      <c r="T4">
        <f t="shared" si="0"/>
        <v>2027</v>
      </c>
      <c r="U4">
        <f t="shared" si="0"/>
        <v>2028</v>
      </c>
      <c r="V4">
        <f t="shared" si="0"/>
        <v>2029</v>
      </c>
    </row>
    <row r="5" spans="1:30" x14ac:dyDescent="0.45">
      <c r="A5" t="s">
        <v>77</v>
      </c>
      <c r="O5">
        <f>O47-'Estimate - Baseline'!O47</f>
        <v>-64.65088121557028</v>
      </c>
      <c r="P5">
        <f>P47-'Estimate - Baseline'!P47</f>
        <v>-145.97861736186951</v>
      </c>
      <c r="Q5">
        <f>Q47-'Estimate - Baseline'!Q47</f>
        <v>-225.64086648291914</v>
      </c>
      <c r="R5">
        <f>R47-'Estimate - Baseline'!R47</f>
        <v>-292.95748928048533</v>
      </c>
      <c r="S5">
        <f>S47-'Estimate - Baseline'!S47</f>
        <v>-348.07810075480029</v>
      </c>
      <c r="T5">
        <f>T47-'Estimate - Baseline'!T47</f>
        <v>-392.35499855743342</v>
      </c>
      <c r="U5">
        <f>U47-'Estimate - Baseline'!U47</f>
        <v>-427.40937783100048</v>
      </c>
      <c r="V5">
        <f>V47-'Estimate - Baseline'!V47</f>
        <v>-455.29179045823071</v>
      </c>
    </row>
    <row r="6" spans="1:30" x14ac:dyDescent="0.45">
      <c r="A6" t="s">
        <v>78</v>
      </c>
      <c r="O6">
        <f>O59-'Estimate - Baseline'!O59</f>
        <v>-9.9504257477413489</v>
      </c>
      <c r="P6">
        <f>P59-'Estimate - Baseline'!P59</f>
        <v>-21.782479803125</v>
      </c>
      <c r="Q6">
        <f>Q59-'Estimate - Baseline'!Q59</f>
        <v>-35.582093951240552</v>
      </c>
      <c r="R6">
        <f>R59-'Estimate - Baseline'!R59</f>
        <v>-51.516532093065223</v>
      </c>
      <c r="S6">
        <f>S59-'Estimate - Baseline'!S59</f>
        <v>-68.755349476900847</v>
      </c>
      <c r="T6">
        <f>T59-'Estimate - Baseline'!T59</f>
        <v>-86.74581075889779</v>
      </c>
      <c r="U6">
        <f>U59-'Estimate - Baseline'!U59</f>
        <v>-105.15165401594697</v>
      </c>
      <c r="V6">
        <f>V59-'Estimate - Baseline'!V59</f>
        <v>-123.77840240910859</v>
      </c>
    </row>
    <row r="7" spans="1:30" x14ac:dyDescent="0.45">
      <c r="A7" t="s">
        <v>79</v>
      </c>
      <c r="O7">
        <f>(O67-'Estimate - Baseline'!O67)*-1</f>
        <v>0</v>
      </c>
      <c r="P7">
        <f>(P67-'Estimate - Baseline'!P67)*-1</f>
        <v>0</v>
      </c>
      <c r="Q7">
        <f>(Q67-'Estimate - Baseline'!Q67)*-1</f>
        <v>0</v>
      </c>
      <c r="R7">
        <f>(R67-'Estimate - Baseline'!R67)*-1</f>
        <v>0</v>
      </c>
      <c r="S7">
        <f>(S67-'Estimate - Baseline'!S67)*-1</f>
        <v>0</v>
      </c>
      <c r="T7">
        <f>(T67-'Estimate - Baseline'!T67)*-1</f>
        <v>0</v>
      </c>
      <c r="U7">
        <f>(U67-'Estimate - Baseline'!U67)*-1</f>
        <v>-2.8421709430404007E-14</v>
      </c>
      <c r="V7">
        <f>(V67-'Estimate - Baseline'!V67)*-1</f>
        <v>0</v>
      </c>
    </row>
    <row r="8" spans="1:30" x14ac:dyDescent="0.45">
      <c r="A8" s="6" t="s">
        <v>73</v>
      </c>
      <c r="B8" s="6"/>
      <c r="C8" s="6"/>
      <c r="D8" s="6"/>
      <c r="E8" s="6"/>
      <c r="F8" s="6"/>
      <c r="G8" s="6"/>
      <c r="H8" s="6"/>
      <c r="I8" s="6"/>
      <c r="J8" s="6"/>
      <c r="K8" s="6"/>
      <c r="L8" s="6"/>
      <c r="M8" s="6"/>
      <c r="O8" s="17">
        <f t="shared" ref="O8:V8" si="1">O5+O6+O7</f>
        <v>-74.601306963311629</v>
      </c>
      <c r="P8" s="17">
        <f t="shared" si="1"/>
        <v>-167.76109716499451</v>
      </c>
      <c r="Q8" s="17">
        <f t="shared" si="1"/>
        <v>-261.22296043415969</v>
      </c>
      <c r="R8" s="17">
        <f t="shared" si="1"/>
        <v>-344.47402137355056</v>
      </c>
      <c r="S8" s="17">
        <f t="shared" si="1"/>
        <v>-416.83345023170114</v>
      </c>
      <c r="T8" s="17">
        <f t="shared" si="1"/>
        <v>-479.10080931633121</v>
      </c>
      <c r="U8" s="17">
        <f t="shared" si="1"/>
        <v>-532.56103184694746</v>
      </c>
      <c r="V8" s="17">
        <f t="shared" si="1"/>
        <v>-579.0701928673393</v>
      </c>
      <c r="W8" s="6"/>
    </row>
    <row r="9" spans="1:30" x14ac:dyDescent="0.45">
      <c r="A9" s="7" t="s">
        <v>88</v>
      </c>
      <c r="B9" s="7"/>
      <c r="C9" s="7"/>
      <c r="D9" s="7"/>
      <c r="E9" s="7"/>
      <c r="F9" s="7"/>
      <c r="G9" s="7"/>
      <c r="H9" s="7"/>
      <c r="I9" s="7"/>
      <c r="J9" s="7"/>
      <c r="K9" s="7"/>
      <c r="L9" s="7"/>
      <c r="M9" s="7"/>
      <c r="N9" s="18"/>
      <c r="O9" s="7">
        <f>O27-'Estimate - Baseline'!O27</f>
        <v>-5306.0399418673605</v>
      </c>
      <c r="P9" s="7">
        <f>P27-'Estimate - Baseline'!P27</f>
        <v>-5444.1693373168328</v>
      </c>
      <c r="Q9" s="7">
        <f>Q27-'Estimate - Baseline'!Q27</f>
        <v>-5571.032730872681</v>
      </c>
      <c r="R9" s="7">
        <f>R27-'Estimate - Baseline'!R27</f>
        <v>-5703.4187682799384</v>
      </c>
      <c r="S9" s="7">
        <f>S27-'Estimate - Baseline'!S27</f>
        <v>-5832.7776897383301</v>
      </c>
      <c r="T9" s="7">
        <f>T27-'Estimate - Baseline'!T27</f>
        <v>-5952.5619879557817</v>
      </c>
      <c r="U9" s="7">
        <f>U27-'Estimate - Baseline'!U27</f>
        <v>-5994.6863323739817</v>
      </c>
      <c r="V9" s="7">
        <f>V27-'Estimate - Baseline'!V27</f>
        <v>-5989.0668657879287</v>
      </c>
    </row>
    <row r="10" spans="1:30" x14ac:dyDescent="0.45">
      <c r="A10" s="7"/>
      <c r="B10" s="7"/>
      <c r="C10" s="7"/>
      <c r="D10" s="7"/>
      <c r="E10" s="7"/>
      <c r="F10" s="7"/>
      <c r="G10" s="7"/>
      <c r="H10" s="7"/>
      <c r="I10" s="7"/>
      <c r="J10" s="7"/>
      <c r="K10" s="7"/>
      <c r="L10" s="7"/>
      <c r="M10" s="7"/>
      <c r="N10" s="18"/>
      <c r="O10" s="7"/>
      <c r="P10" s="7"/>
      <c r="Q10" s="7"/>
      <c r="R10" s="7"/>
      <c r="S10" s="7"/>
      <c r="T10" s="7"/>
      <c r="U10" s="7"/>
      <c r="V10" s="7"/>
    </row>
    <row r="11" spans="1:30" x14ac:dyDescent="0.45">
      <c r="C11">
        <v>2010</v>
      </c>
      <c r="D11">
        <v>2011</v>
      </c>
      <c r="E11">
        <v>2012</v>
      </c>
      <c r="F11">
        <v>2013</v>
      </c>
      <c r="G11">
        <f>F11+1</f>
        <v>2014</v>
      </c>
      <c r="H11">
        <f t="shared" ref="H11:V11" si="2">G11+1</f>
        <v>2015</v>
      </c>
      <c r="I11">
        <f t="shared" si="2"/>
        <v>2016</v>
      </c>
      <c r="J11">
        <f t="shared" si="2"/>
        <v>2017</v>
      </c>
      <c r="K11">
        <f t="shared" si="2"/>
        <v>2018</v>
      </c>
      <c r="L11">
        <f t="shared" si="2"/>
        <v>2019</v>
      </c>
      <c r="M11">
        <f t="shared" si="2"/>
        <v>2020</v>
      </c>
      <c r="N11">
        <f t="shared" si="2"/>
        <v>2021</v>
      </c>
      <c r="O11">
        <f t="shared" si="2"/>
        <v>2022</v>
      </c>
      <c r="P11">
        <f t="shared" si="2"/>
        <v>2023</v>
      </c>
      <c r="Q11">
        <f t="shared" si="2"/>
        <v>2024</v>
      </c>
      <c r="R11">
        <f t="shared" si="2"/>
        <v>2025</v>
      </c>
      <c r="S11">
        <f t="shared" si="2"/>
        <v>2026</v>
      </c>
      <c r="T11">
        <f t="shared" si="2"/>
        <v>2027</v>
      </c>
      <c r="U11">
        <f t="shared" si="2"/>
        <v>2028</v>
      </c>
      <c r="V11">
        <f t="shared" si="2"/>
        <v>2029</v>
      </c>
    </row>
    <row r="12" spans="1:30" x14ac:dyDescent="0.45">
      <c r="B12" s="6" t="s">
        <v>22</v>
      </c>
    </row>
    <row r="13" spans="1:30" x14ac:dyDescent="0.45">
      <c r="B13" t="s">
        <v>135</v>
      </c>
    </row>
    <row r="14" spans="1:30" x14ac:dyDescent="0.45">
      <c r="A14" t="s">
        <v>119</v>
      </c>
      <c r="B14" t="s">
        <v>15</v>
      </c>
      <c r="C14">
        <v>200937</v>
      </c>
      <c r="D14">
        <v>181611</v>
      </c>
      <c r="E14">
        <v>179218</v>
      </c>
      <c r="F14">
        <v>163522</v>
      </c>
      <c r="G14">
        <v>156077</v>
      </c>
      <c r="H14">
        <v>146477</v>
      </c>
      <c r="I14">
        <v>144010</v>
      </c>
      <c r="J14">
        <v>112913</v>
      </c>
      <c r="K14">
        <v>104354</v>
      </c>
      <c r="L14" s="23">
        <v>99838</v>
      </c>
      <c r="M14">
        <v>94120</v>
      </c>
      <c r="N14" s="5">
        <f>M14*N17*N19*N21</f>
        <v>65894.038723837279</v>
      </c>
      <c r="O14" s="4">
        <f>M14*O17*O19*O21*(1+$F1/100)</f>
        <v>74514.49452915389</v>
      </c>
      <c r="P14" s="5">
        <f t="shared" ref="P14:V14" si="3">O14*P17*P19*P21</f>
        <v>76849.736874944647</v>
      </c>
      <c r="Q14" s="5">
        <f t="shared" si="3"/>
        <v>78901.532392872847</v>
      </c>
      <c r="R14" s="5">
        <f t="shared" si="3"/>
        <v>80963.408364729694</v>
      </c>
      <c r="S14" s="5">
        <f t="shared" si="3"/>
        <v>82845.335913838688</v>
      </c>
      <c r="T14" s="5">
        <f>S14*T17*T19*T21</f>
        <v>84717.745621430367</v>
      </c>
      <c r="U14" s="5">
        <f t="shared" si="3"/>
        <v>86064.742480371395</v>
      </c>
      <c r="V14" s="5">
        <f t="shared" si="3"/>
        <v>87179.405795384169</v>
      </c>
      <c r="W14" s="14"/>
      <c r="X14" s="14"/>
      <c r="Y14" s="14"/>
      <c r="Z14" s="14"/>
      <c r="AA14" s="14"/>
      <c r="AB14" s="14"/>
      <c r="AC14" s="14"/>
      <c r="AD14" s="14"/>
    </row>
    <row r="15" spans="1:30" x14ac:dyDescent="0.45">
      <c r="B15" s="3" t="s">
        <v>20</v>
      </c>
      <c r="D15">
        <f t="shared" ref="D15:M15" si="4">D14/C14</f>
        <v>0.90382060048671975</v>
      </c>
      <c r="E15">
        <f t="shared" si="4"/>
        <v>0.9868234853615695</v>
      </c>
      <c r="F15">
        <f t="shared" si="4"/>
        <v>0.91241951143300337</v>
      </c>
      <c r="G15">
        <f t="shared" si="4"/>
        <v>0.9544709580362275</v>
      </c>
      <c r="H15">
        <f t="shared" si="4"/>
        <v>0.9384918982297199</v>
      </c>
      <c r="I15">
        <f t="shared" si="4"/>
        <v>0.98315776538296118</v>
      </c>
      <c r="J15">
        <f t="shared" si="4"/>
        <v>0.78406360669397956</v>
      </c>
      <c r="K15">
        <f t="shared" si="4"/>
        <v>0.92419827654920161</v>
      </c>
      <c r="L15">
        <f t="shared" si="4"/>
        <v>0.95672422714989358</v>
      </c>
      <c r="M15">
        <f t="shared" si="4"/>
        <v>0.94272721809331117</v>
      </c>
      <c r="Q15">
        <v>0</v>
      </c>
      <c r="W15" s="15"/>
      <c r="X15" s="15"/>
      <c r="Y15" s="15"/>
      <c r="Z15" s="15"/>
      <c r="AA15" s="15"/>
      <c r="AB15" s="15"/>
      <c r="AC15" s="15"/>
      <c r="AD15" s="15"/>
    </row>
    <row r="16" spans="1:30" x14ac:dyDescent="0.45">
      <c r="A16" t="s">
        <v>119</v>
      </c>
      <c r="B16" t="s">
        <v>18</v>
      </c>
      <c r="C16">
        <v>0.74099999999999999</v>
      </c>
      <c r="D16">
        <v>0.69299999999999995</v>
      </c>
      <c r="E16">
        <v>0.67</v>
      </c>
      <c r="F16">
        <v>0.63400000000000001</v>
      </c>
      <c r="G16">
        <v>0.57799999999999996</v>
      </c>
      <c r="H16">
        <v>0.53700000000000003</v>
      </c>
      <c r="I16">
        <v>0.56599999999999995</v>
      </c>
      <c r="J16">
        <v>0.53600000000000003</v>
      </c>
      <c r="K16">
        <v>0.50700000000000001</v>
      </c>
      <c r="L16">
        <v>0.46100000000000002</v>
      </c>
      <c r="M16">
        <v>0.377</v>
      </c>
      <c r="N16">
        <v>0.26500000000000001</v>
      </c>
      <c r="O16">
        <f>0.29+$F$2/100</f>
        <v>0.28999999999999998</v>
      </c>
      <c r="P16">
        <f>0.3+$F$2/100</f>
        <v>0.3</v>
      </c>
      <c r="Q16">
        <f>0.31+$F$2/100</f>
        <v>0.31</v>
      </c>
      <c r="R16">
        <f>0.32+$F$2/100</f>
        <v>0.32</v>
      </c>
      <c r="S16">
        <f>0.33+$F$2/100</f>
        <v>0.33</v>
      </c>
      <c r="T16" s="5">
        <f>S16*T17</f>
        <v>0.34064516129032257</v>
      </c>
      <c r="U16" s="5">
        <f>T16*U17</f>
        <v>0.35163371488033296</v>
      </c>
      <c r="V16" s="5">
        <f>U16*V17</f>
        <v>0.36297673794098884</v>
      </c>
      <c r="W16" s="15"/>
      <c r="X16" s="15"/>
      <c r="Y16" s="15"/>
      <c r="Z16" s="15"/>
      <c r="AA16" s="15"/>
      <c r="AB16" s="15"/>
      <c r="AC16" s="15"/>
      <c r="AD16" s="15"/>
    </row>
    <row r="17" spans="1:30" x14ac:dyDescent="0.45">
      <c r="B17" s="3" t="s">
        <v>20</v>
      </c>
      <c r="D17">
        <f t="shared" ref="D17:N17" si="5">D16/C16</f>
        <v>0.93522267206477727</v>
      </c>
      <c r="E17">
        <f t="shared" si="5"/>
        <v>0.9668109668109669</v>
      </c>
      <c r="F17">
        <f t="shared" si="5"/>
        <v>0.94626865671641791</v>
      </c>
      <c r="G17">
        <f t="shared" si="5"/>
        <v>0.9116719242902207</v>
      </c>
      <c r="H17">
        <f t="shared" si="5"/>
        <v>0.92906574394463681</v>
      </c>
      <c r="I17">
        <f t="shared" si="5"/>
        <v>1.0540037243947857</v>
      </c>
      <c r="J17">
        <f t="shared" si="5"/>
        <v>0.94699646643109558</v>
      </c>
      <c r="K17">
        <f t="shared" si="5"/>
        <v>0.94589552238805963</v>
      </c>
      <c r="L17">
        <f t="shared" si="5"/>
        <v>0.90927021696252464</v>
      </c>
      <c r="M17">
        <f t="shared" si="5"/>
        <v>0.81778741865509763</v>
      </c>
      <c r="N17">
        <f t="shared" si="5"/>
        <v>0.70291777188328919</v>
      </c>
      <c r="O17" s="4">
        <f>O16/M16</f>
        <v>0.76923076923076916</v>
      </c>
      <c r="P17">
        <f>P16/O16</f>
        <v>1.0344827586206897</v>
      </c>
      <c r="Q17">
        <f>Q16/P16</f>
        <v>1.0333333333333334</v>
      </c>
      <c r="R17">
        <f>R16/Q16</f>
        <v>1.032258064516129</v>
      </c>
      <c r="S17">
        <f>S16/R16</f>
        <v>1.03125</v>
      </c>
      <c r="T17" s="5">
        <f>MEDIAN($Q17:$S17)</f>
        <v>1.032258064516129</v>
      </c>
      <c r="U17" s="5">
        <f>MEDIAN($Q17:$S17)</f>
        <v>1.032258064516129</v>
      </c>
      <c r="V17" s="5">
        <f>MEDIAN($Q17:$S17)</f>
        <v>1.032258064516129</v>
      </c>
      <c r="W17" s="15"/>
      <c r="X17" s="15"/>
      <c r="Y17" s="15"/>
      <c r="Z17" s="15"/>
      <c r="AA17" s="15"/>
      <c r="AB17" s="15"/>
      <c r="AC17" s="15"/>
      <c r="AD17" s="15"/>
    </row>
    <row r="18" spans="1:30" x14ac:dyDescent="0.45">
      <c r="A18" t="s">
        <v>121</v>
      </c>
      <c r="B18" t="s">
        <v>19</v>
      </c>
      <c r="C18">
        <v>1729525.7080535549</v>
      </c>
      <c r="D18">
        <v>1782214.5498523924</v>
      </c>
      <c r="E18">
        <v>1837430.6550368499</v>
      </c>
      <c r="F18">
        <v>1893701.4081251801</v>
      </c>
      <c r="G18">
        <v>1948495.6343374075</v>
      </c>
      <c r="H18">
        <v>2003510.2889001751</v>
      </c>
      <c r="I18">
        <v>2059012.1006868749</v>
      </c>
      <c r="J18">
        <v>2117152.3864772976</v>
      </c>
      <c r="K18">
        <v>2176677.8534039124</v>
      </c>
      <c r="L18">
        <v>2233521.4655320225</v>
      </c>
      <c r="M18">
        <v>2288031.680475025</v>
      </c>
      <c r="N18">
        <v>2358174.8090827726</v>
      </c>
      <c r="O18">
        <v>2436792.25</v>
      </c>
      <c r="P18">
        <v>2513918.25</v>
      </c>
      <c r="Q18">
        <v>2584687.5</v>
      </c>
      <c r="R18">
        <v>2658749.25</v>
      </c>
      <c r="S18">
        <v>2729901.5</v>
      </c>
      <c r="T18">
        <v>2798461.25</v>
      </c>
      <c r="U18">
        <v>2849943</v>
      </c>
      <c r="V18">
        <v>2893948.5</v>
      </c>
      <c r="W18" s="2"/>
      <c r="X18" s="2"/>
      <c r="Y18" s="2"/>
      <c r="Z18" s="2"/>
      <c r="AA18" s="2"/>
      <c r="AB18" s="2"/>
      <c r="AC18" s="2"/>
      <c r="AD18" s="2"/>
    </row>
    <row r="19" spans="1:30" x14ac:dyDescent="0.45">
      <c r="B19" s="3" t="s">
        <v>20</v>
      </c>
      <c r="D19">
        <f t="shared" ref="D19:N19" si="6">D18/C18</f>
        <v>1.0304643299336294</v>
      </c>
      <c r="E19">
        <f t="shared" si="6"/>
        <v>1.0309817385280748</v>
      </c>
      <c r="F19">
        <f t="shared" si="6"/>
        <v>1.0306246948335591</v>
      </c>
      <c r="G19">
        <f t="shared" si="6"/>
        <v>1.0289349873095757</v>
      </c>
      <c r="H19">
        <f t="shared" si="6"/>
        <v>1.0282344253655336</v>
      </c>
      <c r="I19">
        <f t="shared" si="6"/>
        <v>1.0277022843826609</v>
      </c>
      <c r="J19">
        <f t="shared" si="6"/>
        <v>1.0282369811090608</v>
      </c>
      <c r="K19">
        <f t="shared" si="6"/>
        <v>1.0281158159926591</v>
      </c>
      <c r="L19">
        <f t="shared" si="6"/>
        <v>1.0261148483865987</v>
      </c>
      <c r="M19">
        <f t="shared" si="6"/>
        <v>1.0244055030516657</v>
      </c>
      <c r="N19">
        <f t="shared" si="6"/>
        <v>1.0306565373225887</v>
      </c>
      <c r="O19" s="4">
        <f>O18/M18</f>
        <v>1.065016831189195</v>
      </c>
      <c r="P19">
        <f t="shared" ref="P19:V19" si="7">P18/O18</f>
        <v>1.0316506259407219</v>
      </c>
      <c r="Q19">
        <f t="shared" si="7"/>
        <v>1.0281509750764568</v>
      </c>
      <c r="R19">
        <f t="shared" si="7"/>
        <v>1.0286540442509975</v>
      </c>
      <c r="S19">
        <f t="shared" si="7"/>
        <v>1.0267615496271414</v>
      </c>
      <c r="T19">
        <f t="shared" si="7"/>
        <v>1.0251143676795664</v>
      </c>
      <c r="U19">
        <f t="shared" si="7"/>
        <v>1.0183964491200299</v>
      </c>
      <c r="V19">
        <f t="shared" si="7"/>
        <v>1.0154408351324922</v>
      </c>
    </row>
    <row r="20" spans="1:30" x14ac:dyDescent="0.45">
      <c r="B20" t="s">
        <v>136</v>
      </c>
      <c r="D20">
        <f t="shared" ref="D20:M20" si="8">D15/D17/D19</f>
        <v>0.93785186453117741</v>
      </c>
      <c r="E20">
        <f t="shared" si="8"/>
        <v>0.99002676508442944</v>
      </c>
      <c r="F20">
        <f t="shared" si="8"/>
        <v>0.93557705929623514</v>
      </c>
      <c r="G20">
        <f t="shared" si="8"/>
        <v>1.0175041823293318</v>
      </c>
      <c r="H20">
        <f t="shared" si="8"/>
        <v>0.98240811348376522</v>
      </c>
      <c r="I20">
        <f t="shared" si="8"/>
        <v>0.90764024931238874</v>
      </c>
      <c r="J20">
        <f t="shared" si="8"/>
        <v>0.80521103500093183</v>
      </c>
      <c r="K20">
        <f t="shared" si="8"/>
        <v>0.95034204670213762</v>
      </c>
      <c r="L20">
        <f t="shared" si="8"/>
        <v>1.0254106732291881</v>
      </c>
      <c r="M20">
        <f t="shared" si="8"/>
        <v>1.1253139908974532</v>
      </c>
    </row>
    <row r="21" spans="1:30" x14ac:dyDescent="0.45">
      <c r="B21" s="3" t="s">
        <v>137</v>
      </c>
      <c r="G21">
        <f>MEDIAN($D20:F20)</f>
        <v>0.93785186453117741</v>
      </c>
      <c r="H21">
        <f>MEDIAN($D20:G20)</f>
        <v>0.96393931480780348</v>
      </c>
      <c r="I21">
        <f>MEDIAN($D20:H20)</f>
        <v>0.98240811348376522</v>
      </c>
      <c r="J21">
        <f>MEDIAN($D20:I20)</f>
        <v>0.96012998900747126</v>
      </c>
      <c r="K21">
        <f>MEDIAN($D20:J20)</f>
        <v>0.93785186453117741</v>
      </c>
      <c r="L21">
        <f>MEDIAN($D20:K20)</f>
        <v>0.94409695561665752</v>
      </c>
      <c r="M21">
        <f>MEDIAN($D20:L20)</f>
        <v>0.95034204670213762</v>
      </c>
      <c r="N21">
        <f>MEDIAN($D20:M20)</f>
        <v>0.96637508009295137</v>
      </c>
      <c r="O21">
        <f t="shared" ref="O21:V21" si="9">N21</f>
        <v>0.96637508009295137</v>
      </c>
      <c r="P21">
        <f t="shared" si="9"/>
        <v>0.96637508009295137</v>
      </c>
      <c r="Q21">
        <f t="shared" si="9"/>
        <v>0.96637508009295137</v>
      </c>
      <c r="R21">
        <f t="shared" si="9"/>
        <v>0.96637508009295137</v>
      </c>
      <c r="S21">
        <f t="shared" si="9"/>
        <v>0.96637508009295137</v>
      </c>
      <c r="T21">
        <f t="shared" si="9"/>
        <v>0.96637508009295137</v>
      </c>
      <c r="U21">
        <f t="shared" si="9"/>
        <v>0.96637508009295137</v>
      </c>
      <c r="V21">
        <f t="shared" si="9"/>
        <v>0.96637508009295137</v>
      </c>
    </row>
    <row r="22" spans="1:30" x14ac:dyDescent="0.45">
      <c r="B22" s="3"/>
    </row>
    <row r="23" spans="1:30" x14ac:dyDescent="0.45">
      <c r="B23" t="s">
        <v>13</v>
      </c>
      <c r="C23">
        <v>2010</v>
      </c>
      <c r="D23">
        <v>2011</v>
      </c>
      <c r="E23">
        <v>2012</v>
      </c>
      <c r="F23">
        <v>2013</v>
      </c>
      <c r="G23">
        <f>F23+1</f>
        <v>2014</v>
      </c>
      <c r="H23">
        <f t="shared" ref="H23:V23" si="10">G23+1</f>
        <v>2015</v>
      </c>
      <c r="I23">
        <f t="shared" si="10"/>
        <v>2016</v>
      </c>
      <c r="J23">
        <f t="shared" si="10"/>
        <v>2017</v>
      </c>
      <c r="K23">
        <f t="shared" si="10"/>
        <v>2018</v>
      </c>
      <c r="L23">
        <f t="shared" si="10"/>
        <v>2019</v>
      </c>
      <c r="M23">
        <f t="shared" si="10"/>
        <v>2020</v>
      </c>
      <c r="N23">
        <f t="shared" si="10"/>
        <v>2021</v>
      </c>
      <c r="O23">
        <f t="shared" si="10"/>
        <v>2022</v>
      </c>
      <c r="P23">
        <f t="shared" si="10"/>
        <v>2023</v>
      </c>
      <c r="Q23">
        <f t="shared" si="10"/>
        <v>2024</v>
      </c>
      <c r="R23">
        <f t="shared" si="10"/>
        <v>2025</v>
      </c>
      <c r="S23">
        <f t="shared" si="10"/>
        <v>2026</v>
      </c>
      <c r="T23">
        <f t="shared" si="10"/>
        <v>2027</v>
      </c>
      <c r="U23">
        <f t="shared" si="10"/>
        <v>2028</v>
      </c>
      <c r="V23">
        <f t="shared" si="10"/>
        <v>2029</v>
      </c>
    </row>
    <row r="24" spans="1:30" x14ac:dyDescent="0.45">
      <c r="A24" t="s">
        <v>121</v>
      </c>
      <c r="B24" t="s">
        <v>10</v>
      </c>
      <c r="C24">
        <v>320057.64367763448</v>
      </c>
      <c r="D24">
        <v>335928.07057014998</v>
      </c>
      <c r="E24">
        <v>352090.35247011349</v>
      </c>
      <c r="F24">
        <v>361114.76336657</v>
      </c>
      <c r="G24">
        <v>380164.75955732318</v>
      </c>
      <c r="H24">
        <v>400661.80804554146</v>
      </c>
      <c r="I24">
        <v>440475.57916016027</v>
      </c>
      <c r="J24">
        <v>493833.02854041301</v>
      </c>
      <c r="K24">
        <v>513904.15779530327</v>
      </c>
      <c r="L24">
        <v>519934.052588208</v>
      </c>
      <c r="M24">
        <v>550383.57827856496</v>
      </c>
      <c r="N24">
        <v>610983.62464290159</v>
      </c>
      <c r="O24">
        <v>637068.5</v>
      </c>
      <c r="P24">
        <v>653652.97500000009</v>
      </c>
      <c r="Q24">
        <v>668884.80000000005</v>
      </c>
      <c r="R24">
        <v>684779.7</v>
      </c>
      <c r="S24">
        <v>700311.15</v>
      </c>
      <c r="T24">
        <v>714693.02499999991</v>
      </c>
      <c r="U24">
        <v>719750.67500000005</v>
      </c>
      <c r="V24">
        <v>719075.97499999998</v>
      </c>
    </row>
    <row r="25" spans="1:30" x14ac:dyDescent="0.45">
      <c r="B25" t="s">
        <v>138</v>
      </c>
      <c r="C25">
        <f>'Model Inputs'!D37</f>
        <v>2.4795566450673941E-2</v>
      </c>
      <c r="D25">
        <f>'Model Inputs'!E37</f>
        <v>2.4826559490982787E-2</v>
      </c>
      <c r="E25">
        <f>'Model Inputs'!F37</f>
        <v>2.4836749195117042E-2</v>
      </c>
      <c r="F25">
        <f>'Model Inputs'!G37</f>
        <v>2.4626630321012824E-2</v>
      </c>
      <c r="G25">
        <f>'Model Inputs'!H37</f>
        <v>2.7289514031504595E-2</v>
      </c>
      <c r="H25">
        <f>'Model Inputs'!I37</f>
        <v>3.0660568667462224E-2</v>
      </c>
      <c r="I25">
        <f>'Model Inputs'!J37</f>
        <v>3.1877096993117991E-2</v>
      </c>
      <c r="J25">
        <f>'Model Inputs'!K37</f>
        <v>3.5876060526191432E-2</v>
      </c>
      <c r="K25">
        <f>'Model Inputs'!L37</f>
        <v>3.6907385597619746E-2</v>
      </c>
      <c r="L25">
        <f>'Model Inputs'!M37</f>
        <v>3.6979494151529291E-2</v>
      </c>
      <c r="M25">
        <f>'Model Inputs'!N37</f>
        <v>3.6926324117621201E-2</v>
      </c>
      <c r="N25">
        <f>'Model Inputs'!O37</f>
        <v>3.6802293373045421E-2</v>
      </c>
      <c r="O25">
        <f>'Model Inputs'!P37*(1-$L$1/100)</f>
        <v>2.7691726675220612E-2</v>
      </c>
      <c r="P25">
        <f>'Model Inputs'!Q37*(1-$L$1/100)</f>
        <v>2.7691726675220612E-2</v>
      </c>
      <c r="Q25">
        <f>'Model Inputs'!R37*(1-$L$1/100)</f>
        <v>2.7691726675220612E-2</v>
      </c>
      <c r="R25">
        <f>'Model Inputs'!S37*(1-$L$1/100)</f>
        <v>2.7691726675220612E-2</v>
      </c>
      <c r="S25">
        <f>'Model Inputs'!T37*(1-$L$1/100)</f>
        <v>2.7691726675220612E-2</v>
      </c>
      <c r="T25">
        <f>'Model Inputs'!U37*(1-$L$1/100)</f>
        <v>2.7691726675220612E-2</v>
      </c>
      <c r="U25">
        <f>'Model Inputs'!V37*(1-$L$1/100)</f>
        <v>2.7691726675220612E-2</v>
      </c>
      <c r="V25">
        <f>'Model Inputs'!W37*(1-$L$1/100)</f>
        <v>2.7691726675220612E-2</v>
      </c>
    </row>
    <row r="26" spans="1:30" x14ac:dyDescent="0.45">
      <c r="B26" t="s">
        <v>139</v>
      </c>
      <c r="C26">
        <f>'Model Inputs'!D47</f>
        <v>0.90145767735460547</v>
      </c>
      <c r="D26">
        <f>'Model Inputs'!E47</f>
        <v>0.90281836285240202</v>
      </c>
      <c r="E26">
        <f>'Model Inputs'!F47</f>
        <v>0.90268909352153059</v>
      </c>
      <c r="F26">
        <f>'Model Inputs'!G47</f>
        <v>0.90043723434755296</v>
      </c>
      <c r="G26">
        <f>'Model Inputs'!H47</f>
        <v>0.9016026616556837</v>
      </c>
      <c r="H26">
        <f>'Model Inputs'!I47</f>
        <v>0.90403789124300693</v>
      </c>
      <c r="I26">
        <f>'Model Inputs'!J47</f>
        <v>0.90366395667756638</v>
      </c>
      <c r="J26">
        <f>'Model Inputs'!K47</f>
        <v>0.90267857745990965</v>
      </c>
      <c r="K26">
        <f>'Model Inputs'!L47</f>
        <v>0.90188657079543155</v>
      </c>
      <c r="L26">
        <f>'Model Inputs'!M47</f>
        <v>0.90315831194793494</v>
      </c>
      <c r="M26">
        <f>'Model Inputs'!N47</f>
        <v>0.90291019361786296</v>
      </c>
      <c r="N26">
        <f>'Model Inputs'!O47</f>
        <v>0.90050350757011666</v>
      </c>
      <c r="O26">
        <f>'Model Inputs'!P47</f>
        <v>0.90230964860736518</v>
      </c>
      <c r="P26">
        <f>'Model Inputs'!Q47</f>
        <v>0.90230964860736518</v>
      </c>
      <c r="Q26">
        <f>'Model Inputs'!R47</f>
        <v>0.90230964860736518</v>
      </c>
      <c r="R26">
        <f>'Model Inputs'!S47</f>
        <v>0.90230964860736518</v>
      </c>
      <c r="S26">
        <f>'Model Inputs'!T47</f>
        <v>0.90230964860736518</v>
      </c>
      <c r="T26">
        <f>'Model Inputs'!U47</f>
        <v>0.90230964860736518</v>
      </c>
      <c r="U26">
        <f>'Model Inputs'!V47</f>
        <v>0.90230964860736518</v>
      </c>
      <c r="V26">
        <f>'Model Inputs'!W47</f>
        <v>0.90230964860736518</v>
      </c>
    </row>
    <row r="27" spans="1:30" x14ac:dyDescent="0.45">
      <c r="B27" t="s">
        <v>14</v>
      </c>
      <c r="C27">
        <f>C26*C25*C24</f>
        <v>7153.9776575659198</v>
      </c>
      <c r="D27">
        <f t="shared" ref="D27:V27" si="11">D26*D25*D24</f>
        <v>7529.449377925901</v>
      </c>
      <c r="E27">
        <f t="shared" si="11"/>
        <v>7893.8173311376031</v>
      </c>
      <c r="F27">
        <f t="shared" si="11"/>
        <v>8007.624145246049</v>
      </c>
      <c r="G27">
        <f t="shared" si="11"/>
        <v>9353.6872180427908</v>
      </c>
      <c r="H27">
        <f t="shared" si="11"/>
        <v>11105.670541410973</v>
      </c>
      <c r="I27">
        <f t="shared" si="11"/>
        <v>12688.420402928146</v>
      </c>
      <c r="J27">
        <f t="shared" si="11"/>
        <v>15992.561036844761</v>
      </c>
      <c r="K27">
        <f t="shared" si="11"/>
        <v>17105.955342878548</v>
      </c>
      <c r="L27">
        <f t="shared" si="11"/>
        <v>17364.932973666298</v>
      </c>
      <c r="M27">
        <f t="shared" si="11"/>
        <v>18350.423894883137</v>
      </c>
      <c r="N27">
        <f t="shared" si="11"/>
        <v>20248.360409325076</v>
      </c>
      <c r="O27">
        <f t="shared" si="11"/>
        <v>15918.119825602085</v>
      </c>
      <c r="P27">
        <f t="shared" si="11"/>
        <v>16332.508011950498</v>
      </c>
      <c r="Q27">
        <f t="shared" si="11"/>
        <v>16713.098192618039</v>
      </c>
      <c r="R27">
        <f t="shared" si="11"/>
        <v>17110.256304839822</v>
      </c>
      <c r="S27">
        <f t="shared" si="11"/>
        <v>17498.333069215001</v>
      </c>
      <c r="T27">
        <f t="shared" si="11"/>
        <v>17857.685963867349</v>
      </c>
      <c r="U27">
        <f t="shared" si="11"/>
        <v>17984.058997121949</v>
      </c>
      <c r="V27">
        <f t="shared" si="11"/>
        <v>17967.200597363782</v>
      </c>
    </row>
    <row r="28" spans="1:30" x14ac:dyDescent="0.45">
      <c r="B28" t="s">
        <v>17</v>
      </c>
      <c r="C28">
        <f t="shared" ref="C28:V28" si="12">C27*C14/1000000</f>
        <v>1437.4988085783232</v>
      </c>
      <c r="D28">
        <f t="shared" si="12"/>
        <v>1367.4308309745009</v>
      </c>
      <c r="E28">
        <f t="shared" si="12"/>
        <v>1414.714154451819</v>
      </c>
      <c r="F28">
        <f t="shared" si="12"/>
        <v>1309.4227154789246</v>
      </c>
      <c r="G28">
        <f t="shared" si="12"/>
        <v>1459.8954399304648</v>
      </c>
      <c r="H28">
        <f t="shared" si="12"/>
        <v>1626.7253038942551</v>
      </c>
      <c r="I28">
        <f t="shared" si="12"/>
        <v>1827.2594222256823</v>
      </c>
      <c r="J28">
        <f t="shared" si="12"/>
        <v>1805.7680443532527</v>
      </c>
      <c r="K28">
        <f t="shared" si="12"/>
        <v>1785.074863850748</v>
      </c>
      <c r="L28">
        <f t="shared" si="12"/>
        <v>1733.6801782248961</v>
      </c>
      <c r="M28">
        <f t="shared" si="12"/>
        <v>1727.1418969864008</v>
      </c>
      <c r="N28">
        <f t="shared" si="12"/>
        <v>1334.2462449062803</v>
      </c>
      <c r="O28">
        <f t="shared" si="12"/>
        <v>1186.1306526592427</v>
      </c>
      <c r="P28">
        <f t="shared" si="12"/>
        <v>1255.1489432263211</v>
      </c>
      <c r="Q28">
        <f t="shared" si="12"/>
        <v>1318.6890584301168</v>
      </c>
      <c r="R28">
        <f t="shared" si="12"/>
        <v>1385.3046684339376</v>
      </c>
      <c r="S28">
        <f t="shared" si="12"/>
        <v>1449.6552810513488</v>
      </c>
      <c r="T28">
        <f t="shared" si="12"/>
        <v>1512.8628968743017</v>
      </c>
      <c r="U28">
        <f t="shared" si="12"/>
        <v>1547.7934063391067</v>
      </c>
      <c r="V28">
        <f t="shared" si="12"/>
        <v>1566.369871884646</v>
      </c>
    </row>
    <row r="30" spans="1:30" x14ac:dyDescent="0.45">
      <c r="A30" t="s">
        <v>16</v>
      </c>
      <c r="B30" t="s">
        <v>140</v>
      </c>
      <c r="C30">
        <v>2010</v>
      </c>
      <c r="D30">
        <v>2011</v>
      </c>
      <c r="E30">
        <v>2012</v>
      </c>
      <c r="F30">
        <v>2013</v>
      </c>
      <c r="G30">
        <f>F30+1</f>
        <v>2014</v>
      </c>
      <c r="H30">
        <f t="shared" ref="H30:V30" si="13">G30+1</f>
        <v>2015</v>
      </c>
      <c r="I30">
        <f t="shared" si="13"/>
        <v>2016</v>
      </c>
      <c r="J30">
        <f t="shared" si="13"/>
        <v>2017</v>
      </c>
      <c r="K30">
        <f t="shared" si="13"/>
        <v>2018</v>
      </c>
      <c r="L30">
        <f t="shared" si="13"/>
        <v>2019</v>
      </c>
      <c r="M30">
        <f t="shared" si="13"/>
        <v>2020</v>
      </c>
      <c r="N30">
        <f t="shared" si="13"/>
        <v>2021</v>
      </c>
      <c r="O30">
        <f t="shared" si="13"/>
        <v>2022</v>
      </c>
      <c r="P30">
        <f t="shared" si="13"/>
        <v>2023</v>
      </c>
      <c r="Q30">
        <f t="shared" si="13"/>
        <v>2024</v>
      </c>
      <c r="R30">
        <f t="shared" si="13"/>
        <v>2025</v>
      </c>
      <c r="S30">
        <f t="shared" si="13"/>
        <v>2026</v>
      </c>
      <c r="T30">
        <f t="shared" si="13"/>
        <v>2027</v>
      </c>
      <c r="U30">
        <f t="shared" si="13"/>
        <v>2028</v>
      </c>
      <c r="V30">
        <f t="shared" si="13"/>
        <v>2029</v>
      </c>
    </row>
    <row r="31" spans="1:30" x14ac:dyDescent="0.45">
      <c r="B31">
        <v>1</v>
      </c>
      <c r="C31">
        <f>C$28*'Model Inputs'!D50</f>
        <v>235.03704949308997</v>
      </c>
      <c r="D31">
        <f>D$28*'Model Inputs'!E50</f>
        <v>223.58344931021355</v>
      </c>
      <c r="E31">
        <f>E$28*'Model Inputs'!F50</f>
        <v>231.30731771027331</v>
      </c>
      <c r="F31">
        <f>F$28*'Model Inputs'!G50</f>
        <v>214.104564325686</v>
      </c>
      <c r="G31">
        <f>G$28*'Model Inputs'!H50</f>
        <v>238.69832186778055</v>
      </c>
      <c r="H31">
        <f>H$28*'Model Inputs'!I50</f>
        <v>265.96658276750742</v>
      </c>
      <c r="I31">
        <f>I$28*'Model Inputs'!J50</f>
        <v>298.76911001651177</v>
      </c>
      <c r="J31">
        <f>J$28*'Model Inputs'!K50</f>
        <v>295.26980163396524</v>
      </c>
      <c r="K31">
        <f>K$28*'Model Inputs'!L50</f>
        <v>291.88859695218036</v>
      </c>
      <c r="L31">
        <f>L$28*'Model Inputs'!M50</f>
        <v>283.4811448034211</v>
      </c>
      <c r="M31">
        <f>M$28*'Model Inputs'!N50</f>
        <v>282.42163127667715</v>
      </c>
      <c r="N31">
        <f>N$28*'Model Inputs'!O50</f>
        <v>218.18246377433303</v>
      </c>
      <c r="O31">
        <f>O$28*'Model Inputs'!P50</f>
        <v>193.95264364671132</v>
      </c>
      <c r="P31">
        <f>P$28*'Model Inputs'!Q50</f>
        <v>205.2383143149892</v>
      </c>
      <c r="Q31">
        <f>Q$28*'Model Inputs'!R50</f>
        <v>215.62820963871556</v>
      </c>
      <c r="R31">
        <f>R$28*'Model Inputs'!S50</f>
        <v>226.5210009508807</v>
      </c>
      <c r="S31">
        <f>S$28*'Model Inputs'!T50</f>
        <v>237.04342646062588</v>
      </c>
      <c r="T31">
        <f>T$28*'Model Inputs'!U50</f>
        <v>247.37895245009656</v>
      </c>
      <c r="U31">
        <f>U$28*'Model Inputs'!V50</f>
        <v>253.09068803288122</v>
      </c>
      <c r="V31">
        <f>V$28*'Model Inputs'!W50</f>
        <v>256.12825779308577</v>
      </c>
    </row>
    <row r="32" spans="1:30" x14ac:dyDescent="0.45">
      <c r="B32">
        <v>2</v>
      </c>
      <c r="D32">
        <f>C$28*'Model Inputs'!E51</f>
        <v>281.98915814489641</v>
      </c>
      <c r="E32">
        <f>D$28*'Model Inputs'!F51</f>
        <v>268.24753281279106</v>
      </c>
      <c r="F32">
        <f>E$28*'Model Inputs'!G51</f>
        <v>277.51435756426002</v>
      </c>
      <c r="G32">
        <f>F$28*'Model Inputs'!H51</f>
        <v>256.87510109317901</v>
      </c>
      <c r="H32">
        <f>G$28*'Model Inputs'!I51</f>
        <v>286.38182354341478</v>
      </c>
      <c r="I32">
        <f>H$28*'Model Inputs'!J51</f>
        <v>319.09732074597576</v>
      </c>
      <c r="J32">
        <f>I$28*'Model Inputs'!K51</f>
        <v>358.45263542475249</v>
      </c>
      <c r="K32">
        <f>J$28*'Model Inputs'!L51</f>
        <v>354.25428870872685</v>
      </c>
      <c r="L32">
        <f>K$28*'Model Inputs'!M51</f>
        <v>350.19763864530722</v>
      </c>
      <c r="M32">
        <f>L$28*'Model Inputs'!N51</f>
        <v>340.11067423401414</v>
      </c>
      <c r="N32">
        <f>M$28*'Model Inputs'!O51</f>
        <v>338.83950729206174</v>
      </c>
      <c r="O32">
        <f>N$28*'Model Inputs'!P51</f>
        <v>261.76762095336102</v>
      </c>
      <c r="P32">
        <f>O$28*'Model Inputs'!Q51</f>
        <v>232.69753777061925</v>
      </c>
      <c r="Q32">
        <f>P$28*'Model Inputs'!R51</f>
        <v>246.23768719689852</v>
      </c>
      <c r="R32">
        <f>Q$28*'Model Inputs'!S51</f>
        <v>258.70311697433169</v>
      </c>
      <c r="S32">
        <f>R$28*'Model Inputs'!T51</f>
        <v>271.77190361282203</v>
      </c>
      <c r="T32">
        <f>S$28*'Model Inputs'!U51</f>
        <v>284.3963384308002</v>
      </c>
      <c r="U32">
        <f>T$28*'Model Inputs'!V51</f>
        <v>296.79653779954361</v>
      </c>
      <c r="V32">
        <f>U$28*'Model Inputs'!W51</f>
        <v>303.64927659970056</v>
      </c>
    </row>
    <row r="33" spans="1:22" x14ac:dyDescent="0.45">
      <c r="B33">
        <v>3</v>
      </c>
      <c r="E33">
        <f>C$28*'Model Inputs'!F52</f>
        <v>260.61151787122418</v>
      </c>
      <c r="F33">
        <f>D$28*'Model Inputs'!G52</f>
        <v>247.91164721173777</v>
      </c>
      <c r="G33">
        <f>E$28*'Model Inputs'!H52</f>
        <v>256.47595259218087</v>
      </c>
      <c r="H33">
        <f>F$28*'Model Inputs'!I52</f>
        <v>237.40136124247354</v>
      </c>
      <c r="I33">
        <f>G$28*'Model Inputs'!J52</f>
        <v>264.67117464859598</v>
      </c>
      <c r="J33">
        <f>H$28*'Model Inputs'!K52</f>
        <v>294.90650511293325</v>
      </c>
      <c r="K33">
        <f>I$28*'Model Inputs'!L52</f>
        <v>331.27828749708266</v>
      </c>
      <c r="L33">
        <f>J$28*'Model Inputs'!M52</f>
        <v>327.39821807380747</v>
      </c>
      <c r="M33">
        <f>K$28*'Model Inputs'!N52</f>
        <v>323.64910325870187</v>
      </c>
      <c r="N33">
        <f>L$28*'Model Inputs'!O52</f>
        <v>314.32683312876543</v>
      </c>
      <c r="O33">
        <f>M$28*'Model Inputs'!P52</f>
        <v>313.15203354289014</v>
      </c>
      <c r="P33">
        <f>N$28*'Model Inputs'!Q52</f>
        <v>241.92297843997576</v>
      </c>
      <c r="Q33">
        <f>O$28*'Model Inputs'!R52</f>
        <v>215.05670261314324</v>
      </c>
      <c r="R33">
        <f>P$28*'Model Inputs'!S52</f>
        <v>227.57037128537155</v>
      </c>
      <c r="S33">
        <f>Q$28*'Model Inputs'!T52</f>
        <v>239.09079496614564</v>
      </c>
      <c r="T33">
        <f>R$28*'Model Inputs'!U52</f>
        <v>251.16883493405842</v>
      </c>
      <c r="U33">
        <f>S$28*'Model Inputs'!V52</f>
        <v>262.83620945946149</v>
      </c>
      <c r="V33">
        <f>T$28*'Model Inputs'!W52</f>
        <v>274.29634785858923</v>
      </c>
    </row>
    <row r="34" spans="1:22" x14ac:dyDescent="0.45">
      <c r="B34">
        <v>4</v>
      </c>
      <c r="F34">
        <f>C$28*'Model Inputs'!G53</f>
        <v>201.25777792582505</v>
      </c>
      <c r="G34">
        <f>D$28*'Model Inputs'!H53</f>
        <v>191.45027682321995</v>
      </c>
      <c r="H34">
        <f>E$28*'Model Inputs'!I53</f>
        <v>198.06407917710467</v>
      </c>
      <c r="I34">
        <f>F$28*'Model Inputs'!J53</f>
        <v>183.33368697785357</v>
      </c>
      <c r="J34">
        <f>G$28*'Model Inputs'!K53</f>
        <v>204.39285617880958</v>
      </c>
      <c r="K34">
        <f>H$28*'Model Inputs'!L53</f>
        <v>227.74215199585919</v>
      </c>
      <c r="L34">
        <f>I$28*'Model Inputs'!M53</f>
        <v>255.83033536407339</v>
      </c>
      <c r="M34">
        <f>J$28*'Model Inputs'!N53</f>
        <v>252.8339438127523</v>
      </c>
      <c r="N34">
        <f>K$28*'Model Inputs'!O53</f>
        <v>249.93868222554266</v>
      </c>
      <c r="O34">
        <f>L$28*'Model Inputs'!P53</f>
        <v>242.73954004295362</v>
      </c>
      <c r="P34">
        <f>M$28*'Model Inputs'!Q53</f>
        <v>241.83229865894745</v>
      </c>
      <c r="Q34">
        <f>N$28*'Model Inputs'!R53</f>
        <v>186.82551511052324</v>
      </c>
      <c r="R34">
        <f>O$28*'Model Inputs'!S53</f>
        <v>166.0779786308716</v>
      </c>
      <c r="S34">
        <f>P$28*'Model Inputs'!T53</f>
        <v>175.74168486781974</v>
      </c>
      <c r="T34">
        <f>Q$28*'Model Inputs'!U53</f>
        <v>184.63835562779101</v>
      </c>
      <c r="U34">
        <f>R$28*'Model Inputs'!V53</f>
        <v>193.96564670647066</v>
      </c>
      <c r="V34">
        <f>S$28*'Model Inputs'!W53</f>
        <v>202.97580055688985</v>
      </c>
    </row>
    <row r="35" spans="1:22" x14ac:dyDescent="0.45">
      <c r="B35">
        <v>5</v>
      </c>
      <c r="G35">
        <f>C$28*'Model Inputs'!H54</f>
        <v>146.12996677649642</v>
      </c>
      <c r="H35">
        <f>D$28*'Model Inputs'!I54</f>
        <v>139.00890131977485</v>
      </c>
      <c r="I35">
        <f>E$28*'Model Inputs'!J54</f>
        <v>143.8110745734003</v>
      </c>
      <c r="J35">
        <f>F$28*'Model Inputs'!K54</f>
        <v>133.1155787527386</v>
      </c>
      <c r="K35">
        <f>G$28*'Model Inputs'!L54</f>
        <v>148.40629560051431</v>
      </c>
      <c r="L35">
        <f>H$28*'Model Inputs'!M54</f>
        <v>165.3598357675809</v>
      </c>
      <c r="M35">
        <f>I$28*'Model Inputs'!N54</f>
        <v>185.75420434657829</v>
      </c>
      <c r="N35">
        <f>J$28*'Model Inputs'!O54</f>
        <v>183.57857365862893</v>
      </c>
      <c r="O35">
        <f>K$28*'Model Inputs'!P54</f>
        <v>181.4763717765027</v>
      </c>
      <c r="P35">
        <f>L$28*'Model Inputs'!Q54</f>
        <v>176.2491928878004</v>
      </c>
      <c r="Q35">
        <f>M$28*'Model Inputs'!R54</f>
        <v>175.59045982083813</v>
      </c>
      <c r="R35">
        <f>N$28*'Model Inputs'!S54</f>
        <v>135.65093780457269</v>
      </c>
      <c r="S35">
        <f>O$28*'Model Inputs'!T54</f>
        <v>120.5864923569883</v>
      </c>
      <c r="T35">
        <f>P$28*'Model Inputs'!U54</f>
        <v>127.60315072367024</v>
      </c>
      <c r="U35">
        <f>Q$28*'Model Inputs'!V54</f>
        <v>134.06287722952075</v>
      </c>
      <c r="V35">
        <f>R$28*'Model Inputs'!W54</f>
        <v>140.83527007559755</v>
      </c>
    </row>
    <row r="36" spans="1:22" x14ac:dyDescent="0.45">
      <c r="B36">
        <v>6</v>
      </c>
      <c r="H36">
        <f>C$28*'Model Inputs'!I55</f>
        <v>99.223623101780859</v>
      </c>
      <c r="I36">
        <f>D$28*'Model Inputs'!J55</f>
        <v>94.388352619296214</v>
      </c>
      <c r="J36">
        <f>E$28*'Model Inputs'!K55</f>
        <v>97.64907346593796</v>
      </c>
      <c r="K36">
        <f>F$28*'Model Inputs'!L55</f>
        <v>90.38673111682094</v>
      </c>
      <c r="L36">
        <f>G$28*'Model Inputs'!M55</f>
        <v>100.76927180254</v>
      </c>
      <c r="M36">
        <f>H$28*'Model Inputs'!N55</f>
        <v>112.28088517579702</v>
      </c>
      <c r="N36">
        <f>I$28*'Model Inputs'!O55</f>
        <v>126.12885343254965</v>
      </c>
      <c r="O36">
        <f>J$28*'Model Inputs'!P55</f>
        <v>124.65157971414847</v>
      </c>
      <c r="P36">
        <f>K$28*'Model Inputs'!Q55</f>
        <v>123.22416484615648</v>
      </c>
      <c r="Q36">
        <f>L$28*'Model Inputs'!R55</f>
        <v>119.67486117231476</v>
      </c>
      <c r="R36">
        <f>M$28*'Model Inputs'!S55</f>
        <v>119.2275752185657</v>
      </c>
      <c r="S36">
        <f>N$28*'Model Inputs'!T55</f>
        <v>92.108263780765526</v>
      </c>
      <c r="T36">
        <f>O$28*'Model Inputs'!U55</f>
        <v>81.879363505884555</v>
      </c>
      <c r="U36">
        <f>P$28*'Model Inputs'!V55</f>
        <v>86.643740591348902</v>
      </c>
      <c r="V36">
        <f>Q$28*'Model Inputs'!W55</f>
        <v>91.029955700378721</v>
      </c>
    </row>
    <row r="37" spans="1:22" x14ac:dyDescent="0.45">
      <c r="B37">
        <v>7</v>
      </c>
      <c r="I37">
        <f>C$28*'Model Inputs'!J56</f>
        <v>66.447423375598945</v>
      </c>
      <c r="J37">
        <f>D$28*'Model Inputs'!K56</f>
        <v>63.209371237998404</v>
      </c>
      <c r="K37">
        <f>E$28*'Model Inputs'!L56</f>
        <v>65.392989330478187</v>
      </c>
      <c r="L37">
        <f>F$28*'Model Inputs'!M56</f>
        <v>60.529591666846038</v>
      </c>
      <c r="M37">
        <f>G$28*'Model Inputs'!N56</f>
        <v>67.482503232579532</v>
      </c>
      <c r="N37">
        <f>H$28*'Model Inputs'!O56</f>
        <v>75.191524770367835</v>
      </c>
      <c r="O37">
        <f>I$28*'Model Inputs'!P56</f>
        <v>84.465141081520059</v>
      </c>
      <c r="P37">
        <f>J$28*'Model Inputs'!Q56</f>
        <v>83.475850133057548</v>
      </c>
      <c r="Q37">
        <f>K$28*'Model Inputs'!R56</f>
        <v>82.519948331640805</v>
      </c>
      <c r="R37">
        <f>L$28*'Model Inputs'!S56</f>
        <v>80.1430739893039</v>
      </c>
      <c r="S37">
        <f>M$28*'Model Inputs'!T56</f>
        <v>79.843538473369023</v>
      </c>
      <c r="T37">
        <f>N$28*'Model Inputs'!U56</f>
        <v>61.68245633959345</v>
      </c>
      <c r="U37">
        <f>O$28*'Model Inputs'!V56</f>
        <v>54.832433673775299</v>
      </c>
      <c r="V37">
        <f>P$28*'Model Inputs'!W56</f>
        <v>58.023010387489052</v>
      </c>
    </row>
    <row r="38" spans="1:22" x14ac:dyDescent="0.45">
      <c r="B38">
        <v>8</v>
      </c>
      <c r="J38">
        <f>C$28*'Model Inputs'!K57</f>
        <v>47.185455972641094</v>
      </c>
      <c r="K38">
        <f>D$28*'Model Inputs'!L57</f>
        <v>44.886059565466418</v>
      </c>
      <c r="L38">
        <f>E$28*'Model Inputs'!M57</f>
        <v>46.436684256831114</v>
      </c>
      <c r="M38">
        <f>F$28*'Model Inputs'!N57</f>
        <v>42.983102091009599</v>
      </c>
      <c r="N38">
        <f>G$28*'Model Inputs'!O57</f>
        <v>47.92048394721958</v>
      </c>
      <c r="O38">
        <f>H$28*'Model Inputs'!P57</f>
        <v>53.394792473937109</v>
      </c>
      <c r="P38">
        <f>I$28*'Model Inputs'!Q57</f>
        <v>59.980146606987361</v>
      </c>
      <c r="Q38">
        <f>J$28*'Model Inputs'!R57</f>
        <v>59.277634122358002</v>
      </c>
      <c r="R38">
        <f>K$28*'Model Inputs'!S57</f>
        <v>58.598831844202529</v>
      </c>
      <c r="S38">
        <f>L$28*'Model Inputs'!T57</f>
        <v>56.910972572385774</v>
      </c>
      <c r="T38">
        <f>M$28*'Model Inputs'!U57</f>
        <v>56.698267260706558</v>
      </c>
      <c r="U38">
        <f>N$28*'Model Inputs'!V57</f>
        <v>43.801771085153213</v>
      </c>
      <c r="V38">
        <f>O$28*'Model Inputs'!W57</f>
        <v>38.937452402959579</v>
      </c>
    </row>
    <row r="39" spans="1:22" x14ac:dyDescent="0.45">
      <c r="B39">
        <v>9</v>
      </c>
      <c r="K39">
        <f>C$28*'Model Inputs'!L58</f>
        <v>30.768022463979435</v>
      </c>
      <c r="L39">
        <f>D$28*'Model Inputs'!M58</f>
        <v>29.268664688342707</v>
      </c>
      <c r="M39">
        <f>E$28*'Model Inputs'!N58</f>
        <v>30.279774030271561</v>
      </c>
      <c r="N39">
        <f>F$28*'Model Inputs'!O58</f>
        <v>28.027811185601657</v>
      </c>
      <c r="O39">
        <f>G$28*'Model Inputs'!P58</f>
        <v>31.247309073959361</v>
      </c>
      <c r="P39">
        <f>H$28*'Model Inputs'!Q58</f>
        <v>34.816918485436908</v>
      </c>
      <c r="Q39">
        <f>I$28*'Model Inputs'!R58</f>
        <v>39.111002747681432</v>
      </c>
      <c r="R39">
        <f>J$28*'Model Inputs'!S58</f>
        <v>38.652918376920347</v>
      </c>
      <c r="S39">
        <f>K$28*'Model Inputs'!T58</f>
        <v>38.210294621096146</v>
      </c>
      <c r="T39">
        <f>L$28*'Model Inputs'!U58</f>
        <v>37.109699301610313</v>
      </c>
      <c r="U39">
        <f>M$28*'Model Inputs'!V58</f>
        <v>36.971001440732401</v>
      </c>
      <c r="V39">
        <f>N$28*'Model Inputs'!W58</f>
        <v>28.561637244567354</v>
      </c>
    </row>
    <row r="40" spans="1:22" x14ac:dyDescent="0.45">
      <c r="B40">
        <v>10</v>
      </c>
      <c r="L40">
        <f>C$28*'Model Inputs'!M59</f>
        <v>19.855670747694884</v>
      </c>
      <c r="M40">
        <f>D$28*'Model Inputs'!N59</f>
        <v>18.888083235013749</v>
      </c>
      <c r="N40">
        <f>E$28*'Model Inputs'!O59</f>
        <v>19.540587119745418</v>
      </c>
      <c r="O40">
        <f>F$28*'Model Inputs'!P59</f>
        <v>18.087317484618378</v>
      </c>
      <c r="P40">
        <f>G$28*'Model Inputs'!Q59</f>
        <v>20.164971000341328</v>
      </c>
      <c r="Q40">
        <f>H$28*'Model Inputs'!R59</f>
        <v>22.468563610335934</v>
      </c>
      <c r="R40">
        <f>I$28*'Model Inputs'!S59</f>
        <v>25.239684938455181</v>
      </c>
      <c r="S40">
        <f>J$28*'Model Inputs'!T59</f>
        <v>24.94406722525488</v>
      </c>
      <c r="T40">
        <f>K$28*'Model Inputs'!U59</f>
        <v>24.658426782452864</v>
      </c>
      <c r="U40">
        <f>L$28*'Model Inputs'!V59</f>
        <v>23.948174496471584</v>
      </c>
      <c r="V40">
        <f>M$28*'Model Inputs'!W59</f>
        <v>23.858667962139535</v>
      </c>
    </row>
    <row r="41" spans="1:22" x14ac:dyDescent="0.45">
      <c r="B41">
        <v>11</v>
      </c>
      <c r="M41">
        <f>C$28*'Model Inputs'!N60</f>
        <v>13.047608630677448</v>
      </c>
      <c r="N41">
        <f>D$28*'Model Inputs'!O60</f>
        <v>12.409656329468303</v>
      </c>
      <c r="O41">
        <f>E$28*'Model Inputs'!P60</f>
        <v>12.843856602712997</v>
      </c>
      <c r="P41">
        <f>F$28*'Model Inputs'!Q60</f>
        <v>11.879143673935967</v>
      </c>
      <c r="Q41">
        <f>G$28*'Model Inputs'!R60</f>
        <v>13.251365209382376</v>
      </c>
      <c r="R41">
        <f>H$28*'Model Inputs'!S60</f>
        <v>14.772023918940125</v>
      </c>
      <c r="S41">
        <f>I$28*'Model Inputs'!T60</f>
        <v>16.58209536735767</v>
      </c>
      <c r="T41">
        <f>J$28*'Model Inputs'!U60</f>
        <v>16.376747155962637</v>
      </c>
      <c r="U41">
        <f>K$28*'Model Inputs'!V60</f>
        <v>16.187364968203127</v>
      </c>
      <c r="V41">
        <f>L$28*'Model Inputs'!W60</f>
        <v>15.723833207198208</v>
      </c>
    </row>
    <row r="42" spans="1:22" x14ac:dyDescent="0.45">
      <c r="B42">
        <v>12</v>
      </c>
      <c r="N42">
        <f>C$28*'Model Inputs'!O61</f>
        <v>8.3576923260193574</v>
      </c>
      <c r="O42">
        <f>D$28*'Model Inputs'!P61</f>
        <v>7.946953728523555</v>
      </c>
      <c r="P42">
        <f>E$28*'Model Inputs'!Q61</f>
        <v>8.2304240074665369</v>
      </c>
      <c r="Q42">
        <f>F$28*'Model Inputs'!R61</f>
        <v>7.6028868909943208</v>
      </c>
      <c r="R42">
        <f>G$28*'Model Inputs'!S61</f>
        <v>8.4887099167326436</v>
      </c>
      <c r="S42">
        <f>H$28*'Model Inputs'!T61</f>
        <v>9.4695829094593851</v>
      </c>
      <c r="T42">
        <f>I$28*'Model Inputs'!U61</f>
        <v>10.618303562167421</v>
      </c>
      <c r="U42">
        <f>J$28*'Model Inputs'!V61</f>
        <v>10.475846636801281</v>
      </c>
      <c r="V42">
        <f>K$28*'Model Inputs'!W61</f>
        <v>10.352881669610897</v>
      </c>
    </row>
    <row r="43" spans="1:22" x14ac:dyDescent="0.45">
      <c r="B43">
        <v>13</v>
      </c>
      <c r="O43">
        <f>C$28*'Model Inputs'!P62</f>
        <v>5.6227552751192773</v>
      </c>
      <c r="P43">
        <f>D$28*'Model Inputs'!Q62</f>
        <v>5.3464112742725343</v>
      </c>
      <c r="Q43">
        <f>E$28*'Model Inputs'!R62</f>
        <v>5.537155124867235</v>
      </c>
      <c r="R43">
        <f>F$28*'Model Inputs'!S62</f>
        <v>5.114907467156395</v>
      </c>
      <c r="S43">
        <f>G$28*'Model Inputs'!T62</f>
        <v>5.710902506482106</v>
      </c>
      <c r="T43">
        <f>H$28*'Model Inputs'!U62</f>
        <v>6.3708435393930332</v>
      </c>
      <c r="U43">
        <f>I$28*'Model Inputs'!V62</f>
        <v>7.1435908044012058</v>
      </c>
      <c r="V43">
        <f>J$28*'Model Inputs'!W62</f>
        <v>7.0476788858048716</v>
      </c>
    </row>
    <row r="44" spans="1:22" x14ac:dyDescent="0.45">
      <c r="B44">
        <v>14</v>
      </c>
      <c r="P44">
        <f>C$28*'Model Inputs'!Q63</f>
        <v>4.8504366442451898</v>
      </c>
      <c r="Q44">
        <f>D$28*'Model Inputs'!R63</f>
        <v>4.6120422253678335</v>
      </c>
      <c r="R44">
        <f>E$28*'Model Inputs'!S63</f>
        <v>4.7766064105262291</v>
      </c>
      <c r="S44">
        <f>F$28*'Model Inputs'!T63</f>
        <v>4.4123208368059457</v>
      </c>
      <c r="T44">
        <f>G$28*'Model Inputs'!U63</f>
        <v>4.9264782192894945</v>
      </c>
      <c r="U44">
        <f>H$28*'Model Inputs'!V63</f>
        <v>5.4957981150723807</v>
      </c>
      <c r="V44">
        <f>I$28*'Model Inputs'!W63</f>
        <v>6.1623635600652715</v>
      </c>
    </row>
    <row r="45" spans="1:22" x14ac:dyDescent="0.45">
      <c r="B45">
        <v>15</v>
      </c>
      <c r="Q45">
        <f>C$28*'Model Inputs'!R64</f>
        <v>4.867161761898358</v>
      </c>
      <c r="R45">
        <f>D$28*'Model Inputs'!S64</f>
        <v>4.6279390141654657</v>
      </c>
      <c r="S45">
        <f>E$28*'Model Inputs'!T64</f>
        <v>4.793086712919588</v>
      </c>
      <c r="T45">
        <f>F$28*'Model Inputs'!U64</f>
        <v>4.4275161830618952</v>
      </c>
      <c r="U45">
        <f>G$28*'Model Inputs'!V64</f>
        <v>4.943467046860583</v>
      </c>
      <c r="V45">
        <f>H$28*'Model Inputs'!W64</f>
        <v>5.5147705372939742</v>
      </c>
    </row>
    <row r="46" spans="1:22" x14ac:dyDescent="0.45">
      <c r="B46" t="s">
        <v>141</v>
      </c>
      <c r="R46">
        <f>C$28*'Model Inputs'!S65</f>
        <v>8.1789350141009365</v>
      </c>
      <c r="S46">
        <f>D$28*'Model Inputs'!T65</f>
        <v>7.7769121107412653</v>
      </c>
      <c r="T46">
        <f>E$28*'Model Inputs'!U65</f>
        <v>8.0544961183874815</v>
      </c>
      <c r="U46">
        <f>F$28*'Model Inputs'!V65</f>
        <v>7.4400638810548703</v>
      </c>
      <c r="V46">
        <f>G$28*'Model Inputs'!W65</f>
        <v>8.3071669119613958</v>
      </c>
    </row>
    <row r="47" spans="1:22" x14ac:dyDescent="0.45">
      <c r="A47" s="6"/>
      <c r="B47" s="6" t="s">
        <v>21</v>
      </c>
      <c r="C47" s="6">
        <f t="shared" ref="C47:U47" si="14">SUM(C31:C46)</f>
        <v>235.03704949308997</v>
      </c>
      <c r="D47" s="6">
        <f t="shared" si="14"/>
        <v>505.57260745510996</v>
      </c>
      <c r="E47" s="6">
        <f t="shared" si="14"/>
        <v>760.16636839428861</v>
      </c>
      <c r="F47" s="6">
        <f t="shared" si="14"/>
        <v>940.78834702750885</v>
      </c>
      <c r="G47" s="6">
        <f t="shared" si="14"/>
        <v>1089.6296191528568</v>
      </c>
      <c r="H47" s="6">
        <f t="shared" si="14"/>
        <v>1226.0463711520561</v>
      </c>
      <c r="I47" s="6">
        <f t="shared" si="14"/>
        <v>1370.5181429572324</v>
      </c>
      <c r="J47" s="6">
        <f t="shared" si="14"/>
        <v>1494.1812777797768</v>
      </c>
      <c r="K47" s="6">
        <f t="shared" si="14"/>
        <v>1585.0034232311084</v>
      </c>
      <c r="L47" s="6">
        <f t="shared" si="14"/>
        <v>1639.1270558164449</v>
      </c>
      <c r="M47" s="6">
        <f t="shared" si="14"/>
        <v>1669.7315133240725</v>
      </c>
      <c r="N47" s="6">
        <f t="shared" si="14"/>
        <v>1622.4426691903036</v>
      </c>
      <c r="O47" s="6">
        <f t="shared" si="14"/>
        <v>1531.3479153969579</v>
      </c>
      <c r="P47" s="6">
        <f t="shared" si="14"/>
        <v>1449.908788744232</v>
      </c>
      <c r="Q47" s="6">
        <f t="shared" si="14"/>
        <v>1398.2611955769594</v>
      </c>
      <c r="R47" s="6">
        <f t="shared" si="14"/>
        <v>1382.3446117550977</v>
      </c>
      <c r="S47" s="6">
        <f t="shared" si="14"/>
        <v>1384.9963393810394</v>
      </c>
      <c r="T47" s="6">
        <f t="shared" si="14"/>
        <v>1407.9882301349267</v>
      </c>
      <c r="U47" s="6">
        <f t="shared" si="14"/>
        <v>1438.6352119677524</v>
      </c>
      <c r="V47" s="6">
        <f>SUM(V31:V46)</f>
        <v>1471.4043713533313</v>
      </c>
    </row>
    <row r="48" spans="1:22" x14ac:dyDescent="0.45">
      <c r="B48" s="9" t="s">
        <v>142</v>
      </c>
    </row>
    <row r="49" spans="1:22" x14ac:dyDescent="0.45">
      <c r="A49" t="s">
        <v>119</v>
      </c>
      <c r="B49" s="9" t="s">
        <v>23</v>
      </c>
      <c r="H49">
        <v>1592</v>
      </c>
      <c r="I49">
        <v>1505</v>
      </c>
      <c r="J49">
        <v>1557</v>
      </c>
      <c r="K49">
        <v>1426</v>
      </c>
      <c r="L49">
        <v>1429</v>
      </c>
      <c r="M49">
        <v>1372</v>
      </c>
      <c r="N49">
        <v>1407.3071026086268</v>
      </c>
      <c r="O49">
        <v>1475.7896540991208</v>
      </c>
      <c r="P49">
        <v>1578.6446874294891</v>
      </c>
      <c r="Q49">
        <v>1652.923983636349</v>
      </c>
      <c r="R49">
        <v>1719.1233323618239</v>
      </c>
      <c r="S49">
        <v>1764.0180514162278</v>
      </c>
      <c r="T49">
        <v>1833.291642906227</v>
      </c>
      <c r="U49">
        <v>1897.7995296097879</v>
      </c>
      <c r="V49">
        <v>1928.2461885989121</v>
      </c>
    </row>
    <row r="50" spans="1:22" x14ac:dyDescent="0.45">
      <c r="B50" s="9" t="s">
        <v>134</v>
      </c>
      <c r="D50" s="19"/>
      <c r="E50" s="19"/>
      <c r="F50" s="19"/>
      <c r="G50" s="19"/>
      <c r="H50" s="19"/>
      <c r="I50" s="19"/>
      <c r="J50" s="19"/>
      <c r="K50" s="19"/>
      <c r="L50" s="19">
        <f t="shared" ref="L50:V50" si="15">ABS(L49-L47)/L49</f>
        <v>0.14704482562382429</v>
      </c>
      <c r="M50" s="19">
        <f t="shared" si="15"/>
        <v>0.21700547618372629</v>
      </c>
      <c r="N50" s="19">
        <f t="shared" si="15"/>
        <v>0.15287037646786195</v>
      </c>
      <c r="O50" s="19">
        <f t="shared" si="15"/>
        <v>3.7646463466876688E-2</v>
      </c>
      <c r="P50" s="19">
        <f t="shared" si="15"/>
        <v>8.1548368489984951E-2</v>
      </c>
      <c r="Q50" s="19">
        <f t="shared" si="15"/>
        <v>0.15406805792674411</v>
      </c>
      <c r="R50" s="19">
        <f t="shared" si="15"/>
        <v>0.19590143084384848</v>
      </c>
      <c r="S50" s="19">
        <f t="shared" si="15"/>
        <v>0.21486271738029766</v>
      </c>
      <c r="T50" s="19">
        <f t="shared" si="15"/>
        <v>0.23198895517632306</v>
      </c>
      <c r="U50" s="19">
        <f t="shared" si="15"/>
        <v>0.24194563781794465</v>
      </c>
      <c r="V50" s="19">
        <f t="shared" si="15"/>
        <v>0.23692089731422097</v>
      </c>
    </row>
    <row r="52" spans="1:22" x14ac:dyDescent="0.45">
      <c r="B52" s="6" t="s">
        <v>24</v>
      </c>
      <c r="C52">
        <v>2010</v>
      </c>
      <c r="D52">
        <v>2011</v>
      </c>
      <c r="E52">
        <v>2012</v>
      </c>
      <c r="F52">
        <v>2013</v>
      </c>
      <c r="G52">
        <f>F52+1</f>
        <v>2014</v>
      </c>
      <c r="H52">
        <f t="shared" ref="H52:V52" si="16">G52+1</f>
        <v>2015</v>
      </c>
      <c r="I52">
        <f t="shared" si="16"/>
        <v>2016</v>
      </c>
      <c r="J52">
        <f t="shared" si="16"/>
        <v>2017</v>
      </c>
      <c r="K52">
        <f t="shared" si="16"/>
        <v>2018</v>
      </c>
      <c r="L52">
        <f t="shared" si="16"/>
        <v>2019</v>
      </c>
      <c r="M52">
        <f t="shared" si="16"/>
        <v>2020</v>
      </c>
      <c r="N52">
        <f t="shared" si="16"/>
        <v>2021</v>
      </c>
      <c r="O52">
        <f t="shared" si="16"/>
        <v>2022</v>
      </c>
      <c r="P52">
        <f t="shared" si="16"/>
        <v>2023</v>
      </c>
      <c r="Q52">
        <f t="shared" si="16"/>
        <v>2024</v>
      </c>
      <c r="R52">
        <f t="shared" si="16"/>
        <v>2025</v>
      </c>
      <c r="S52">
        <f t="shared" si="16"/>
        <v>2026</v>
      </c>
      <c r="T52">
        <f t="shared" si="16"/>
        <v>2027</v>
      </c>
      <c r="U52">
        <f t="shared" si="16"/>
        <v>2028</v>
      </c>
      <c r="V52">
        <f t="shared" si="16"/>
        <v>2029</v>
      </c>
    </row>
    <row r="53" spans="1:22" x14ac:dyDescent="0.45">
      <c r="A53" t="s">
        <v>122</v>
      </c>
      <c r="B53" t="s">
        <v>90</v>
      </c>
      <c r="G53">
        <v>2.5</v>
      </c>
      <c r="H53">
        <v>2.5</v>
      </c>
      <c r="I53">
        <v>2.4</v>
      </c>
      <c r="J53">
        <v>2.5</v>
      </c>
      <c r="K53">
        <v>2.5</v>
      </c>
      <c r="L53">
        <v>2.2999999999999998</v>
      </c>
      <c r="M53">
        <v>1.5</v>
      </c>
    </row>
    <row r="54" spans="1:22" x14ac:dyDescent="0.45">
      <c r="A54" t="s">
        <v>121</v>
      </c>
      <c r="B54" t="s">
        <v>143</v>
      </c>
      <c r="D54">
        <v>3.145</v>
      </c>
      <c r="E54">
        <v>2.4225000000000003</v>
      </c>
      <c r="F54">
        <v>2.9349999999999996</v>
      </c>
      <c r="G54">
        <v>2.71</v>
      </c>
      <c r="H54">
        <v>2.1799999999999997</v>
      </c>
      <c r="I54">
        <v>1.9349999999999998</v>
      </c>
      <c r="J54">
        <v>2.2575000000000003</v>
      </c>
      <c r="K54">
        <v>2.2450000000000001</v>
      </c>
      <c r="L54">
        <v>1.7025000000000001</v>
      </c>
      <c r="M54">
        <v>1.1825000000000001</v>
      </c>
      <c r="N54">
        <v>1.94865003099814</v>
      </c>
      <c r="O54">
        <v>2.1991938546187226</v>
      </c>
      <c r="P54">
        <v>2.5105438236205826</v>
      </c>
      <c r="Q54">
        <v>2.8218937926224426</v>
      </c>
      <c r="R54">
        <v>3.1332437616243025</v>
      </c>
      <c r="S54">
        <v>3.25</v>
      </c>
      <c r="T54">
        <v>3.25</v>
      </c>
      <c r="U54">
        <v>3.25</v>
      </c>
      <c r="V54">
        <v>3.25</v>
      </c>
    </row>
    <row r="55" spans="1:22" x14ac:dyDescent="0.45">
      <c r="B55" t="s">
        <v>144</v>
      </c>
      <c r="G55">
        <f t="shared" ref="G55:M55" si="17">G53-G54</f>
        <v>-0.20999999999999996</v>
      </c>
      <c r="H55">
        <f t="shared" si="17"/>
        <v>0.32000000000000028</v>
      </c>
      <c r="I55">
        <f t="shared" si="17"/>
        <v>0.46500000000000008</v>
      </c>
      <c r="J55">
        <f t="shared" si="17"/>
        <v>0.24249999999999972</v>
      </c>
      <c r="K55">
        <f t="shared" si="17"/>
        <v>0.25499999999999989</v>
      </c>
      <c r="L55">
        <f>L53-L54</f>
        <v>0.5974999999999997</v>
      </c>
      <c r="M55">
        <f t="shared" si="17"/>
        <v>0.31749999999999989</v>
      </c>
    </row>
    <row r="56" spans="1:22" x14ac:dyDescent="0.45">
      <c r="B56" t="s">
        <v>91</v>
      </c>
      <c r="D56" s="5">
        <f t="shared" ref="D56:V56" si="18">D54+MEDIAN($G$55:$M$55)</f>
        <v>3.4624999999999999</v>
      </c>
      <c r="E56" s="5">
        <f t="shared" si="18"/>
        <v>2.74</v>
      </c>
      <c r="F56" s="5">
        <f t="shared" si="18"/>
        <v>3.2524999999999995</v>
      </c>
      <c r="G56">
        <f t="shared" si="18"/>
        <v>3.0274999999999999</v>
      </c>
      <c r="H56">
        <f t="shared" si="18"/>
        <v>2.4974999999999996</v>
      </c>
      <c r="I56">
        <f t="shared" si="18"/>
        <v>2.2524999999999995</v>
      </c>
      <c r="J56">
        <f t="shared" si="18"/>
        <v>2.5750000000000002</v>
      </c>
      <c r="K56">
        <f t="shared" si="18"/>
        <v>2.5625</v>
      </c>
      <c r="L56">
        <f t="shared" si="18"/>
        <v>2.02</v>
      </c>
      <c r="M56">
        <f t="shared" si="18"/>
        <v>1.5</v>
      </c>
      <c r="N56" s="5">
        <f t="shared" si="18"/>
        <v>2.2661500309981397</v>
      </c>
      <c r="O56" s="5">
        <f t="shared" si="18"/>
        <v>2.5166938546187225</v>
      </c>
      <c r="P56" s="5">
        <f t="shared" si="18"/>
        <v>2.8280438236205825</v>
      </c>
      <c r="Q56" s="5">
        <f t="shared" si="18"/>
        <v>3.1393937926224424</v>
      </c>
      <c r="R56" s="5">
        <f t="shared" si="18"/>
        <v>3.4507437616243024</v>
      </c>
      <c r="S56" s="5">
        <f t="shared" si="18"/>
        <v>3.5674999999999999</v>
      </c>
      <c r="T56" s="5">
        <f t="shared" si="18"/>
        <v>3.5674999999999999</v>
      </c>
      <c r="U56" s="5">
        <f t="shared" si="18"/>
        <v>3.5674999999999999</v>
      </c>
      <c r="V56" s="5">
        <f t="shared" si="18"/>
        <v>3.5674999999999999</v>
      </c>
    </row>
    <row r="57" spans="1:22" x14ac:dyDescent="0.45">
      <c r="A57" t="s">
        <v>120</v>
      </c>
      <c r="B57" t="s">
        <v>118</v>
      </c>
      <c r="D57" s="5">
        <f>D56</f>
        <v>3.4624999999999999</v>
      </c>
      <c r="E57" s="5">
        <f>E56</f>
        <v>2.74</v>
      </c>
      <c r="F57" s="5">
        <f>F56</f>
        <v>3.2524999999999995</v>
      </c>
      <c r="G57">
        <f t="shared" ref="G57:M57" si="19">G53</f>
        <v>2.5</v>
      </c>
      <c r="H57">
        <f t="shared" si="19"/>
        <v>2.5</v>
      </c>
      <c r="I57">
        <f t="shared" si="19"/>
        <v>2.4</v>
      </c>
      <c r="J57">
        <f t="shared" si="19"/>
        <v>2.5</v>
      </c>
      <c r="K57">
        <f t="shared" si="19"/>
        <v>2.5</v>
      </c>
      <c r="L57">
        <f t="shared" si="19"/>
        <v>2.2999999999999998</v>
      </c>
      <c r="M57">
        <f t="shared" si="19"/>
        <v>1.5</v>
      </c>
      <c r="N57" s="5">
        <f>N56</f>
        <v>2.2661500309981397</v>
      </c>
      <c r="O57" s="5">
        <f t="shared" ref="O57:V57" si="20">O56</f>
        <v>2.5166938546187225</v>
      </c>
      <c r="P57" s="5">
        <f t="shared" si="20"/>
        <v>2.8280438236205825</v>
      </c>
      <c r="Q57" s="5">
        <f t="shared" si="20"/>
        <v>3.1393937926224424</v>
      </c>
      <c r="R57" s="5">
        <f t="shared" si="20"/>
        <v>3.4507437616243024</v>
      </c>
      <c r="S57" s="5">
        <f t="shared" si="20"/>
        <v>3.5674999999999999</v>
      </c>
      <c r="T57" s="5">
        <f t="shared" si="20"/>
        <v>3.5674999999999999</v>
      </c>
      <c r="U57" s="5">
        <f t="shared" si="20"/>
        <v>3.5674999999999999</v>
      </c>
      <c r="V57" s="5">
        <f t="shared" si="20"/>
        <v>3.5674999999999999</v>
      </c>
    </row>
    <row r="58" spans="1:22" x14ac:dyDescent="0.45">
      <c r="B58" t="s">
        <v>92</v>
      </c>
      <c r="D58">
        <f t="shared" ref="D58:V58" si="21">D28*D57/100</f>
        <v>47.34729252249209</v>
      </c>
      <c r="E58">
        <f t="shared" si="21"/>
        <v>38.763167831979843</v>
      </c>
      <c r="F58">
        <f t="shared" si="21"/>
        <v>42.588973820952013</v>
      </c>
      <c r="G58">
        <f t="shared" si="21"/>
        <v>36.49738599826162</v>
      </c>
      <c r="H58">
        <f t="shared" si="21"/>
        <v>40.668132597356383</v>
      </c>
      <c r="I58">
        <f t="shared" si="21"/>
        <v>43.854226133416375</v>
      </c>
      <c r="J58">
        <f t="shared" si="21"/>
        <v>45.144201108831311</v>
      </c>
      <c r="K58">
        <f t="shared" si="21"/>
        <v>44.6268715962687</v>
      </c>
      <c r="L58">
        <f t="shared" si="21"/>
        <v>39.874644099172606</v>
      </c>
      <c r="M58">
        <f t="shared" si="21"/>
        <v>25.907128454796013</v>
      </c>
      <c r="N58">
        <f t="shared" si="21"/>
        <v>30.236021692535186</v>
      </c>
      <c r="O58">
        <f t="shared" si="21"/>
        <v>29.851277243224107</v>
      </c>
      <c r="P58">
        <f t="shared" si="21"/>
        <v>35.496162166150981</v>
      </c>
      <c r="Q58">
        <f t="shared" si="21"/>
        <v>41.398842444346421</v>
      </c>
      <c r="R58">
        <f t="shared" si="21"/>
        <v>47.803314425474326</v>
      </c>
      <c r="S58">
        <f t="shared" si="21"/>
        <v>51.716452151506864</v>
      </c>
      <c r="T58">
        <f t="shared" si="21"/>
        <v>53.971383845990715</v>
      </c>
      <c r="U58">
        <f t="shared" si="21"/>
        <v>55.217529771147632</v>
      </c>
      <c r="V58">
        <f t="shared" si="21"/>
        <v>55.880245179484746</v>
      </c>
    </row>
    <row r="59" spans="1:22" x14ac:dyDescent="0.45">
      <c r="B59" s="6" t="s">
        <v>4</v>
      </c>
      <c r="C59" s="6"/>
      <c r="D59" s="6"/>
      <c r="E59" s="6"/>
      <c r="F59" s="6"/>
      <c r="G59" s="6"/>
      <c r="H59" s="6"/>
      <c r="I59" s="6"/>
      <c r="J59" s="6"/>
      <c r="K59" s="6"/>
      <c r="L59" s="6">
        <f t="shared" ref="L59:V59" si="22">SUM(E58:L58)</f>
        <v>332.01760318623889</v>
      </c>
      <c r="M59" s="6">
        <f t="shared" si="22"/>
        <v>319.16156380905505</v>
      </c>
      <c r="N59" s="6">
        <f t="shared" si="22"/>
        <v>306.80861168063819</v>
      </c>
      <c r="O59" s="6">
        <f t="shared" si="22"/>
        <v>300.16250292560068</v>
      </c>
      <c r="P59" s="6">
        <f t="shared" si="22"/>
        <v>294.99053249439532</v>
      </c>
      <c r="Q59" s="6">
        <f t="shared" si="22"/>
        <v>292.53514880532532</v>
      </c>
      <c r="R59" s="6">
        <f t="shared" si="22"/>
        <v>295.19426212196834</v>
      </c>
      <c r="S59" s="6">
        <f t="shared" si="22"/>
        <v>302.28384267720651</v>
      </c>
      <c r="T59" s="6">
        <f t="shared" si="22"/>
        <v>316.38058242402462</v>
      </c>
      <c r="U59" s="6">
        <f t="shared" si="22"/>
        <v>345.69098374037623</v>
      </c>
      <c r="V59" s="6">
        <f t="shared" si="22"/>
        <v>371.33520722732578</v>
      </c>
    </row>
    <row r="60" spans="1:22" x14ac:dyDescent="0.45">
      <c r="A60" s="6"/>
      <c r="B60" s="9" t="s">
        <v>142</v>
      </c>
      <c r="C60" s="6"/>
      <c r="D60" s="6"/>
      <c r="E60" s="6"/>
      <c r="F60" s="6"/>
      <c r="G60" s="6"/>
      <c r="H60" s="6"/>
      <c r="I60" s="6"/>
      <c r="J60" s="6"/>
      <c r="K60" s="6"/>
      <c r="L60" s="6"/>
      <c r="M60" s="6"/>
      <c r="N60" s="6"/>
      <c r="O60" s="6"/>
      <c r="P60" s="6"/>
      <c r="Q60" s="6"/>
      <c r="R60" s="6"/>
      <c r="S60" s="6"/>
      <c r="T60" s="6"/>
      <c r="U60" s="6"/>
      <c r="V60" s="6"/>
    </row>
    <row r="61" spans="1:22" x14ac:dyDescent="0.45">
      <c r="A61" t="s">
        <v>119</v>
      </c>
      <c r="B61" s="22" t="s">
        <v>25</v>
      </c>
      <c r="L61">
        <v>446</v>
      </c>
      <c r="M61">
        <v>349</v>
      </c>
      <c r="N61">
        <v>298.23263506342647</v>
      </c>
      <c r="O61">
        <v>304.93189671850416</v>
      </c>
      <c r="P61">
        <v>291.3038125976579</v>
      </c>
      <c r="Q61">
        <v>314.9241467585079</v>
      </c>
      <c r="R61">
        <v>348.77143617149119</v>
      </c>
      <c r="S61">
        <v>391.45483314137618</v>
      </c>
      <c r="T61">
        <v>440.42588330972501</v>
      </c>
      <c r="U61">
        <v>492.80241481999803</v>
      </c>
      <c r="V61">
        <v>546.09832705167901</v>
      </c>
    </row>
    <row r="62" spans="1:22" x14ac:dyDescent="0.45">
      <c r="A62" s="6"/>
      <c r="B62" s="9" t="s">
        <v>134</v>
      </c>
      <c r="D62" s="19"/>
      <c r="E62" s="19"/>
      <c r="F62" s="19"/>
      <c r="G62" s="19"/>
      <c r="H62" s="19"/>
      <c r="I62" s="19"/>
      <c r="J62" s="19"/>
      <c r="K62" s="19"/>
      <c r="L62" s="19">
        <f t="shared" ref="L62:V62" si="23">ABS(L59/L61-1)</f>
        <v>0.25556591213847779</v>
      </c>
      <c r="M62" s="19">
        <f t="shared" si="23"/>
        <v>8.5496951836518509E-2</v>
      </c>
      <c r="N62" s="19">
        <f t="shared" si="23"/>
        <v>2.8755996523947891E-2</v>
      </c>
      <c r="O62" s="19">
        <f t="shared" si="23"/>
        <v>1.5640849134606394E-2</v>
      </c>
      <c r="P62" s="19">
        <f t="shared" si="23"/>
        <v>1.2655927376513443E-2</v>
      </c>
      <c r="Q62" s="19">
        <f t="shared" si="23"/>
        <v>7.1093303526042595E-2</v>
      </c>
      <c r="R62" s="19">
        <f t="shared" si="23"/>
        <v>0.15361686334651248</v>
      </c>
      <c r="S62" s="19">
        <f t="shared" si="23"/>
        <v>0.22779381659075093</v>
      </c>
      <c r="T62" s="19">
        <f t="shared" si="23"/>
        <v>0.28164852608915991</v>
      </c>
      <c r="U62" s="19">
        <f t="shared" si="23"/>
        <v>0.29852010999856005</v>
      </c>
      <c r="V62" s="19">
        <f t="shared" si="23"/>
        <v>0.320021342617691</v>
      </c>
    </row>
    <row r="64" spans="1:22" x14ac:dyDescent="0.45">
      <c r="B64" s="6" t="s">
        <v>37</v>
      </c>
      <c r="C64">
        <v>2010</v>
      </c>
      <c r="D64">
        <v>2011</v>
      </c>
      <c r="E64">
        <v>2012</v>
      </c>
      <c r="F64">
        <v>2013</v>
      </c>
      <c r="G64">
        <f>F64+1</f>
        <v>2014</v>
      </c>
      <c r="H64">
        <f t="shared" ref="H64:V64" si="24">G64+1</f>
        <v>2015</v>
      </c>
      <c r="I64">
        <f t="shared" si="24"/>
        <v>2016</v>
      </c>
      <c r="J64">
        <f t="shared" si="24"/>
        <v>2017</v>
      </c>
      <c r="K64">
        <f t="shared" si="24"/>
        <v>2018</v>
      </c>
      <c r="L64">
        <f t="shared" si="24"/>
        <v>2019</v>
      </c>
      <c r="M64">
        <f t="shared" si="24"/>
        <v>2020</v>
      </c>
      <c r="N64">
        <f t="shared" si="24"/>
        <v>2021</v>
      </c>
      <c r="O64">
        <f t="shared" si="24"/>
        <v>2022</v>
      </c>
      <c r="P64">
        <f t="shared" si="24"/>
        <v>2023</v>
      </c>
      <c r="Q64">
        <f t="shared" si="24"/>
        <v>2024</v>
      </c>
      <c r="R64">
        <f t="shared" si="24"/>
        <v>2025</v>
      </c>
      <c r="S64">
        <f t="shared" si="24"/>
        <v>2026</v>
      </c>
      <c r="T64">
        <f t="shared" si="24"/>
        <v>2027</v>
      </c>
      <c r="U64">
        <f t="shared" si="24"/>
        <v>2028</v>
      </c>
      <c r="V64">
        <f t="shared" si="24"/>
        <v>2029</v>
      </c>
    </row>
    <row r="65" spans="1:22" x14ac:dyDescent="0.45">
      <c r="A65" t="s">
        <v>119</v>
      </c>
      <c r="B65" t="s">
        <v>38</v>
      </c>
      <c r="H65">
        <v>290</v>
      </c>
      <c r="I65">
        <v>335</v>
      </c>
      <c r="J65">
        <v>147</v>
      </c>
      <c r="K65">
        <v>210</v>
      </c>
      <c r="L65">
        <v>191</v>
      </c>
      <c r="M65">
        <v>472</v>
      </c>
      <c r="N65">
        <v>-213.41945741539615</v>
      </c>
      <c r="O65">
        <v>154.77543243269523</v>
      </c>
      <c r="P65">
        <v>126.71882568630808</v>
      </c>
      <c r="Q65">
        <v>126.86345324303898</v>
      </c>
      <c r="R65">
        <v>151.7274176274006</v>
      </c>
      <c r="S65">
        <v>163.58790004873623</v>
      </c>
      <c r="T65">
        <v>170.90280466223598</v>
      </c>
      <c r="U65">
        <v>176.03047548457394</v>
      </c>
      <c r="V65">
        <v>181.58724706092778</v>
      </c>
    </row>
    <row r="66" spans="1:22" x14ac:dyDescent="0.45">
      <c r="B66" s="7" t="s">
        <v>76</v>
      </c>
      <c r="D66" s="19"/>
      <c r="E66" s="19"/>
      <c r="F66" s="19"/>
      <c r="G66" s="19"/>
      <c r="H66" s="19">
        <f t="shared" ref="H66:V66" si="25">H65/H49</f>
        <v>0.18216080402010051</v>
      </c>
      <c r="I66" s="19">
        <f t="shared" si="25"/>
        <v>0.22259136212624583</v>
      </c>
      <c r="J66" s="19">
        <f t="shared" si="25"/>
        <v>9.4412331406551059E-2</v>
      </c>
      <c r="K66" s="19">
        <f t="shared" si="25"/>
        <v>0.14726507713884993</v>
      </c>
      <c r="L66" s="19">
        <f t="shared" si="25"/>
        <v>0.13365990202939118</v>
      </c>
      <c r="M66" s="19">
        <f t="shared" si="25"/>
        <v>0.34402332361516036</v>
      </c>
      <c r="N66" s="19">
        <f t="shared" si="25"/>
        <v>-0.15165094883682134</v>
      </c>
      <c r="O66" s="19">
        <f t="shared" si="25"/>
        <v>0.10487635009690874</v>
      </c>
      <c r="P66" s="19">
        <f t="shared" si="25"/>
        <v>8.0270643986801518E-2</v>
      </c>
      <c r="Q66" s="19">
        <f t="shared" si="25"/>
        <v>7.675093016918165E-2</v>
      </c>
      <c r="R66" s="19">
        <f t="shared" si="25"/>
        <v>8.8258599468223911E-2</v>
      </c>
      <c r="S66" s="19">
        <f t="shared" si="25"/>
        <v>9.2735955801246481E-2</v>
      </c>
      <c r="T66" s="19">
        <f t="shared" si="25"/>
        <v>9.3221831520113277E-2</v>
      </c>
      <c r="U66" s="19">
        <f t="shared" si="25"/>
        <v>9.2755042215005759E-2</v>
      </c>
      <c r="V66" s="19">
        <f t="shared" si="25"/>
        <v>9.4172231810747853E-2</v>
      </c>
    </row>
    <row r="67" spans="1:22" x14ac:dyDescent="0.45">
      <c r="A67" t="s">
        <v>125</v>
      </c>
      <c r="B67" s="6" t="s">
        <v>39</v>
      </c>
      <c r="L67" s="6">
        <f>L65</f>
        <v>191</v>
      </c>
      <c r="M67" s="6">
        <f>M65</f>
        <v>472</v>
      </c>
      <c r="N67" s="6">
        <f>N65</f>
        <v>-213.41945741539615</v>
      </c>
      <c r="O67" s="6">
        <f>'Estimate - Baseline'!O67*SUM(K14:O14)/SUM('Estimate - Baseline'!K14:O14)</f>
        <v>167.38252854778054</v>
      </c>
      <c r="P67" s="6">
        <f>'Estimate - Baseline'!P67*SUM(L14:P14)/SUM('Estimate - Baseline'!L14:P14)</f>
        <v>128.10290981856301</v>
      </c>
      <c r="Q67" s="6">
        <f>'Estimate - Baseline'!Q67*SUM(M14:Q14)/SUM('Estimate - Baseline'!M14:Q14)</f>
        <v>124.63599376674782</v>
      </c>
      <c r="R67" s="6">
        <f>'Estimate - Baseline'!R67*SUM(N14:R14)/SUM('Estimate - Baseline'!N14:R14)</f>
        <v>147.85981712357352</v>
      </c>
      <c r="S67" s="6">
        <f>'Estimate - Baseline'!S67*SUM(O14:S14)/SUM('Estimate - Baseline'!O14:S14)</f>
        <v>160.71831468070721</v>
      </c>
      <c r="T67" s="6">
        <f>'Estimate - Baseline'!T67*SUM(P14:T14)/SUM('Estimate - Baseline'!P14:T14)</f>
        <v>167.83129314353596</v>
      </c>
      <c r="U67" s="6">
        <f>'Estimate - Baseline'!U67*SUM(Q14:U14)/SUM('Estimate - Baseline'!Q14:U14)</f>
        <v>173.08504470186645</v>
      </c>
      <c r="V67" s="6">
        <f>'Estimate - Baseline'!V67*SUM(R14:V14)/SUM('Estimate - Baseline'!R14:V14)</f>
        <v>181.44127757899656</v>
      </c>
    </row>
    <row r="68" spans="1:22" x14ac:dyDescent="0.45">
      <c r="B68" s="7"/>
    </row>
    <row r="78" spans="1:22" s="6" customFormat="1" x14ac:dyDescent="0.45"/>
    <row r="79" spans="1:22" s="6" customFormat="1" x14ac:dyDescent="0.45"/>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EAA2-2177-4436-81E6-8D7A126C54D1}">
  <dimension ref="A1:J15"/>
  <sheetViews>
    <sheetView workbookViewId="0">
      <selection activeCell="A7" sqref="A7"/>
    </sheetView>
  </sheetViews>
  <sheetFormatPr defaultRowHeight="14.25" x14ac:dyDescent="0.45"/>
  <cols>
    <col min="1" max="1" width="33.19921875" customWidth="1"/>
  </cols>
  <sheetData>
    <row r="1" spans="1:10" x14ac:dyDescent="0.45">
      <c r="A1" t="s">
        <v>68</v>
      </c>
    </row>
    <row r="2" spans="1:10" x14ac:dyDescent="0.45">
      <c r="A2" t="s">
        <v>11</v>
      </c>
      <c r="B2" t="s">
        <v>81</v>
      </c>
      <c r="C2" t="s">
        <v>82</v>
      </c>
      <c r="D2" t="s">
        <v>83</v>
      </c>
      <c r="E2" t="s">
        <v>85</v>
      </c>
      <c r="F2" t="s">
        <v>84</v>
      </c>
      <c r="G2" t="s">
        <v>86</v>
      </c>
      <c r="H2" t="s">
        <v>87</v>
      </c>
      <c r="J2" t="s">
        <v>148</v>
      </c>
    </row>
    <row r="3" spans="1:10" x14ac:dyDescent="0.45">
      <c r="A3" t="str">
        <f>'Estimate - Scenario'!A5</f>
        <v>Change in Earned Fees and Premiums</v>
      </c>
      <c r="B3">
        <f>'Estimate - Rate Decline'!P5*0.25+'Estimate - Rate Decline'!O5*0.75</f>
        <v>-84.982815252145087</v>
      </c>
      <c r="C3">
        <f>'Estimate - Rate Decline'!Q5*0.25+'Estimate - Rate Decline'!P5*0.75</f>
        <v>-165.89417964213192</v>
      </c>
      <c r="D3">
        <f>'Estimate - Rate Decline'!R5*0.25+'Estimate - Rate Decline'!Q5*0.75</f>
        <v>-242.47002218231069</v>
      </c>
      <c r="E3">
        <f>'Estimate - Rate Decline'!S5*0.25+'Estimate - Rate Decline'!R5*0.75</f>
        <v>-306.73764214906407</v>
      </c>
      <c r="F3">
        <f>'Estimate - Rate Decline'!T5*0.25+'Estimate - Rate Decline'!S5*0.75</f>
        <v>-359.14732520545857</v>
      </c>
      <c r="G3">
        <f>'Estimate - Rate Decline'!U5*0.25+'Estimate - Rate Decline'!T5*0.75</f>
        <v>-401.11859337582518</v>
      </c>
      <c r="H3">
        <f>'Estimate - Rate Decline'!V5*0.25+'Estimate - Rate Decline'!U5*0.75</f>
        <v>-434.37998098780804</v>
      </c>
      <c r="J3">
        <f t="shared" ref="J3:J6" si="0">SUM(B3:F3)</f>
        <v>-1159.2319844311103</v>
      </c>
    </row>
    <row r="4" spans="1:10" x14ac:dyDescent="0.45">
      <c r="A4" t="str">
        <f>'Estimate - Scenario'!A6</f>
        <v>Change in Investment Income</v>
      </c>
      <c r="B4">
        <f>'Estimate - Rate Decline'!P6*0.25+'Estimate - Rate Decline'!O6*0.75</f>
        <v>-12.908439261587262</v>
      </c>
      <c r="C4">
        <f>'Estimate - Rate Decline'!Q6*0.25+'Estimate - Rate Decline'!P6*0.75</f>
        <v>-25.232383340153888</v>
      </c>
      <c r="D4">
        <f>'Estimate - Rate Decline'!R6*0.25+'Estimate - Rate Decline'!Q6*0.75</f>
        <v>-39.565703486696719</v>
      </c>
      <c r="E4">
        <f>'Estimate - Rate Decline'!S6*0.25+'Estimate - Rate Decline'!R6*0.75</f>
        <v>-55.826236439024129</v>
      </c>
      <c r="F4">
        <f>'Estimate - Rate Decline'!T6*0.25+'Estimate - Rate Decline'!S6*0.75</f>
        <v>-73.252964797400082</v>
      </c>
      <c r="G4">
        <f>'Estimate - Rate Decline'!U6*0.25+'Estimate - Rate Decline'!T6*0.75</f>
        <v>-91.347271573160086</v>
      </c>
      <c r="H4">
        <f>'Estimate - Rate Decline'!V6*0.25+'Estimate - Rate Decline'!U6*0.75</f>
        <v>-109.80834111423738</v>
      </c>
      <c r="J4">
        <f>SUM(B4:F4)</f>
        <v>-206.78572732486208</v>
      </c>
    </row>
    <row r="5" spans="1:10" x14ac:dyDescent="0.45">
      <c r="A5" t="str">
        <f>'Estimate - Scenario'!A7</f>
        <v>Change in Incurred Expenses</v>
      </c>
      <c r="B5">
        <f>'Estimate - Rate Decline'!P7*0.25+'Estimate - Rate Decline'!O7*0.75</f>
        <v>0</v>
      </c>
      <c r="C5">
        <f>'Estimate - Rate Decline'!Q7*0.25+'Estimate - Rate Decline'!P7*0.75</f>
        <v>0</v>
      </c>
      <c r="D5">
        <f>'Estimate - Rate Decline'!R7*0.25+'Estimate - Rate Decline'!Q7*0.75</f>
        <v>0</v>
      </c>
      <c r="E5">
        <f>'Estimate - Rate Decline'!S7*0.25+'Estimate - Rate Decline'!R7*0.75</f>
        <v>0</v>
      </c>
      <c r="F5">
        <f>'Estimate - Rate Decline'!T7*0.25+'Estimate - Rate Decline'!S7*0.75</f>
        <v>0</v>
      </c>
      <c r="G5">
        <f>'Estimate - Rate Decline'!U7*0.25+'Estimate - Rate Decline'!T7*0.75</f>
        <v>0</v>
      </c>
      <c r="H5">
        <f>'Estimate - Rate Decline'!V7*0.25+'Estimate - Rate Decline'!U7*0.75</f>
        <v>0</v>
      </c>
      <c r="J5">
        <f t="shared" si="0"/>
        <v>0</v>
      </c>
    </row>
    <row r="6" spans="1:10" x14ac:dyDescent="0.45">
      <c r="A6" t="str">
        <f>'Estimate - Scenario'!A8</f>
        <v>Cost of the Policy</v>
      </c>
      <c r="B6">
        <f>'Estimate - Rate Decline'!P8*0.25+'Estimate - Rate Decline'!O8*0.75</f>
        <v>-97.891254513732349</v>
      </c>
      <c r="C6">
        <f>'Estimate - Rate Decline'!Q8*0.25+'Estimate - Rate Decline'!P8*0.75</f>
        <v>-191.1265629822858</v>
      </c>
      <c r="D6">
        <f>'Estimate - Rate Decline'!R8*0.25+'Estimate - Rate Decline'!Q8*0.75</f>
        <v>-282.03572566900743</v>
      </c>
      <c r="E6">
        <f>'Estimate - Rate Decline'!S8*0.25+'Estimate - Rate Decline'!R8*0.75</f>
        <v>-362.56387858808819</v>
      </c>
      <c r="F6">
        <f>'Estimate - Rate Decline'!T8*0.25+'Estimate - Rate Decline'!S8*0.75</f>
        <v>-432.40029000285864</v>
      </c>
      <c r="G6">
        <f>'Estimate - Rate Decline'!U8*0.25+'Estimate - Rate Decline'!T8*0.75</f>
        <v>-492.46586494898531</v>
      </c>
      <c r="H6">
        <f>'Estimate - Rate Decline'!V8*0.25+'Estimate - Rate Decline'!U8*0.75</f>
        <v>-544.18832210204539</v>
      </c>
      <c r="J6">
        <f t="shared" si="0"/>
        <v>-1366.0177117559724</v>
      </c>
    </row>
    <row r="7" spans="1:10" x14ac:dyDescent="0.45">
      <c r="A7" t="str">
        <f>'Estimate - Scenario'!A9</f>
        <v>Cost Per Mortgage</v>
      </c>
      <c r="B7">
        <f>'Estimate - Rate Decline'!P9*0.25+'Estimate - Rate Decline'!O9*0.75</f>
        <v>-5340.5722907297286</v>
      </c>
      <c r="C7">
        <f>'Estimate - Rate Decline'!Q9*0.25+'Estimate - Rate Decline'!P9*0.75</f>
        <v>-5475.8851857057944</v>
      </c>
      <c r="D7">
        <f>'Estimate - Rate Decline'!R9*0.25+'Estimate - Rate Decline'!Q9*0.75</f>
        <v>-5604.1292402244953</v>
      </c>
      <c r="E7">
        <f>'Estimate - Rate Decline'!S9*0.25+'Estimate - Rate Decline'!R9*0.75</f>
        <v>-5735.7584986445363</v>
      </c>
      <c r="F7">
        <f>'Estimate - Rate Decline'!T9*0.25+'Estimate - Rate Decline'!S9*0.75</f>
        <v>-5862.723764292693</v>
      </c>
      <c r="G7">
        <f>'Estimate - Rate Decline'!U9*0.25+'Estimate - Rate Decline'!T9*0.75</f>
        <v>-5963.0930740603317</v>
      </c>
      <c r="H7">
        <f>'Estimate - Rate Decline'!V9*0.25+'Estimate - Rate Decline'!U9*0.75</f>
        <v>-5993.2814657274685</v>
      </c>
    </row>
    <row r="9" spans="1:10" x14ac:dyDescent="0.45">
      <c r="A9" t="s">
        <v>69</v>
      </c>
    </row>
    <row r="10" spans="1:10" x14ac:dyDescent="0.45">
      <c r="A10" t="s">
        <v>11</v>
      </c>
      <c r="B10" t="s">
        <v>81</v>
      </c>
      <c r="C10" t="s">
        <v>82</v>
      </c>
      <c r="D10" t="s">
        <v>83</v>
      </c>
      <c r="E10" t="s">
        <v>85</v>
      </c>
      <c r="F10" t="s">
        <v>84</v>
      </c>
      <c r="G10" t="s">
        <v>86</v>
      </c>
      <c r="H10" t="s">
        <v>87</v>
      </c>
      <c r="J10" t="s">
        <v>148</v>
      </c>
    </row>
    <row r="11" spans="1:10" x14ac:dyDescent="0.45">
      <c r="A11" t="str">
        <f>'Estimate - Scenario'!A5</f>
        <v>Change in Earned Fees and Premiums</v>
      </c>
      <c r="B11">
        <f>'Estimate - Scenario'!P5*0.25+'Estimate - Scenario'!O5*0.75</f>
        <v>-84.982815252145087</v>
      </c>
      <c r="C11">
        <f>'Estimate - Scenario'!Q5*0.25+'Estimate - Scenario'!P5*0.75</f>
        <v>-165.89417964213192</v>
      </c>
      <c r="D11">
        <f>'Estimate - Scenario'!R5*0.25+'Estimate - Scenario'!Q5*0.75</f>
        <v>-242.47002218231069</v>
      </c>
      <c r="E11">
        <f>'Estimate - Scenario'!S5*0.25+'Estimate - Scenario'!R5*0.75</f>
        <v>-306.73764214906407</v>
      </c>
      <c r="F11">
        <f>'Estimate - Scenario'!T5*0.25+'Estimate - Scenario'!S5*0.75</f>
        <v>-359.14732520545857</v>
      </c>
      <c r="G11">
        <f>'Estimate - Scenario'!U5*0.25+'Estimate - Scenario'!T5*0.75</f>
        <v>-401.11859337582518</v>
      </c>
      <c r="H11">
        <f>'Estimate - Scenario'!V5*0.25+'Estimate - Scenario'!U5*0.75</f>
        <v>-434.37998098780804</v>
      </c>
      <c r="J11">
        <f t="shared" ref="J11:J13" si="1">SUM(B11:F11)</f>
        <v>-1159.2319844311103</v>
      </c>
    </row>
    <row r="12" spans="1:10" x14ac:dyDescent="0.45">
      <c r="A12" t="str">
        <f>'Estimate - Scenario'!A6</f>
        <v>Change in Investment Income</v>
      </c>
      <c r="B12">
        <f>'Estimate - Scenario'!P6*0.25+'Estimate - Scenario'!O6*0.75</f>
        <v>-12.908439261587262</v>
      </c>
      <c r="C12">
        <f>'Estimate - Scenario'!Q6*0.25+'Estimate - Scenario'!P6*0.75</f>
        <v>-25.232383340153888</v>
      </c>
      <c r="D12">
        <f>'Estimate - Scenario'!R6*0.25+'Estimate - Scenario'!Q6*0.75</f>
        <v>-39.565703486696719</v>
      </c>
      <c r="E12">
        <f>'Estimate - Scenario'!S6*0.25+'Estimate - Scenario'!R6*0.75</f>
        <v>-55.826236439024129</v>
      </c>
      <c r="F12">
        <f>'Estimate - Scenario'!T6*0.25+'Estimate - Scenario'!S6*0.75</f>
        <v>-73.252964797400082</v>
      </c>
      <c r="G12">
        <f>'Estimate - Scenario'!U6*0.25+'Estimate - Scenario'!T6*0.75</f>
        <v>-91.347271573160086</v>
      </c>
      <c r="H12">
        <f>'Estimate - Scenario'!V6*0.25+'Estimate - Scenario'!U6*0.75</f>
        <v>-109.80834111423738</v>
      </c>
      <c r="J12">
        <f t="shared" si="1"/>
        <v>-206.78572732486208</v>
      </c>
    </row>
    <row r="13" spans="1:10" x14ac:dyDescent="0.45">
      <c r="A13" t="str">
        <f>'Estimate - Scenario'!A7</f>
        <v>Change in Incurred Expenses</v>
      </c>
      <c r="B13">
        <f>'Estimate - Scenario'!P7*0.25+'Estimate - Scenario'!O7*0.75</f>
        <v>0</v>
      </c>
      <c r="C13">
        <f>'Estimate - Scenario'!Q7*0.25+'Estimate - Scenario'!P7*0.75</f>
        <v>0</v>
      </c>
      <c r="D13">
        <f>'Estimate - Scenario'!R7*0.25+'Estimate - Scenario'!Q7*0.75</f>
        <v>0</v>
      </c>
      <c r="E13">
        <f>'Estimate - Scenario'!S7*0.25+'Estimate - Scenario'!R7*0.75</f>
        <v>0</v>
      </c>
      <c r="F13">
        <f>'Estimate - Scenario'!T7*0.25+'Estimate - Scenario'!S7*0.75</f>
        <v>0</v>
      </c>
      <c r="G13">
        <f>'Estimate - Scenario'!U7*0.25+'Estimate - Scenario'!T7*0.75</f>
        <v>-7.1054273576010019E-15</v>
      </c>
      <c r="H13">
        <f>'Estimate - Scenario'!V7*0.25+'Estimate - Scenario'!U7*0.75</f>
        <v>-2.1316282072803006E-14</v>
      </c>
      <c r="J13">
        <f t="shared" si="1"/>
        <v>0</v>
      </c>
    </row>
    <row r="14" spans="1:10" x14ac:dyDescent="0.45">
      <c r="A14" t="str">
        <f>'Estimate - Scenario'!A8</f>
        <v>Cost of the Policy</v>
      </c>
      <c r="B14">
        <f>'Estimate - Scenario'!P8*0.25+'Estimate - Scenario'!O8*0.75</f>
        <v>-97.891254513732349</v>
      </c>
      <c r="C14">
        <f>'Estimate - Scenario'!Q8*0.25+'Estimate - Scenario'!P8*0.75</f>
        <v>-191.1265629822858</v>
      </c>
      <c r="D14">
        <f>'Estimate - Scenario'!R8*0.25+'Estimate - Scenario'!Q8*0.75</f>
        <v>-282.03572566900743</v>
      </c>
      <c r="E14">
        <f>'Estimate - Scenario'!S8*0.25+'Estimate - Scenario'!R8*0.75</f>
        <v>-362.56387858808819</v>
      </c>
      <c r="F14">
        <f>'Estimate - Scenario'!T8*0.25+'Estimate - Scenario'!S8*0.75</f>
        <v>-432.40029000285864</v>
      </c>
      <c r="G14">
        <f>'Estimate - Scenario'!U8*0.25+'Estimate - Scenario'!T8*0.75</f>
        <v>-492.46586494898531</v>
      </c>
      <c r="H14">
        <f>'Estimate - Scenario'!V8*0.25+'Estimate - Scenario'!U8*0.75</f>
        <v>-544.18832210204539</v>
      </c>
      <c r="J14">
        <f>SUM(B14:F14)</f>
        <v>-1366.0177117559724</v>
      </c>
    </row>
    <row r="15" spans="1:10" x14ac:dyDescent="0.45">
      <c r="A15" t="str">
        <f>'Estimate - Scenario'!A9</f>
        <v>Cost Per Mortgage</v>
      </c>
      <c r="B15">
        <f>'Estimate - Scenario'!P9*0.25+'Estimate - Scenario'!O9*0.75</f>
        <v>-5340.5722907297286</v>
      </c>
      <c r="C15">
        <f>'Estimate - Scenario'!Q9*0.25+'Estimate - Scenario'!P9*0.75</f>
        <v>-5475.8851857057944</v>
      </c>
      <c r="D15">
        <f>'Estimate - Scenario'!R9*0.25+'Estimate - Scenario'!Q9*0.75</f>
        <v>-5604.1292402244953</v>
      </c>
      <c r="E15">
        <f>'Estimate - Scenario'!S9*0.25+'Estimate - Scenario'!R9*0.75</f>
        <v>-5735.7584986445363</v>
      </c>
      <c r="F15">
        <f>'Estimate - Scenario'!T9*0.25+'Estimate - Scenario'!S9*0.75</f>
        <v>-5862.723764292693</v>
      </c>
      <c r="G15">
        <f>'Estimate - Scenario'!U9*0.25+'Estimate - Scenario'!T9*0.75</f>
        <v>-5963.0930740603317</v>
      </c>
      <c r="H15">
        <f>'Estimate - Scenario'!V9*0.25+'Estimate - Scenario'!U9*0.75</f>
        <v>-5993.2814657274685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602656996AAA4E8E37DE888DA52FDB" ma:contentTypeVersion="15" ma:contentTypeDescription="Create a new document." ma:contentTypeScope="" ma:versionID="8c6af6a2b019ae9e3c5de3ab6000d685">
  <xsd:schema xmlns:xsd="http://www.w3.org/2001/XMLSchema" xmlns:xs="http://www.w3.org/2001/XMLSchema" xmlns:p="http://schemas.microsoft.com/office/2006/metadata/properties" xmlns:ns1="http://schemas.microsoft.com/sharepoint/v3" xmlns:ns3="ed078717-f1cf-4fad-8467-84ec909a951e" xmlns:ns4="e63bfddb-9061-4389-a996-e03c5bf831c8" targetNamespace="http://schemas.microsoft.com/office/2006/metadata/properties" ma:root="true" ma:fieldsID="bcb5bfb720e1dcd05be994bb6bd1a2e0" ns1:_="" ns3:_="" ns4:_="">
    <xsd:import namespace="http://schemas.microsoft.com/sharepoint/v3"/>
    <xsd:import namespace="ed078717-f1cf-4fad-8467-84ec909a951e"/>
    <xsd:import namespace="e63bfddb-9061-4389-a996-e03c5bf831c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078717-f1cf-4fad-8467-84ec909a9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3bfddb-9061-4389-a996-e03c5bf831c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1A61B-D82C-48F0-88CF-15A25CA9870A}">
  <ds:schemaRefs>
    <ds:schemaRef ds:uri="http://schemas.microsoft.com/sharepoint/v3/contenttype/forms"/>
  </ds:schemaRefs>
</ds:datastoreItem>
</file>

<file path=customXml/itemProps2.xml><?xml version="1.0" encoding="utf-8"?>
<ds:datastoreItem xmlns:ds="http://schemas.openxmlformats.org/officeDocument/2006/customXml" ds:itemID="{45C9928C-A71E-4C3D-9551-AC80DAE2322A}">
  <ds:schemaRefs>
    <ds:schemaRef ds:uri="http://schemas.microsoft.com/sharepoint/v3"/>
    <ds:schemaRef ds:uri="http://purl.org/dc/terms/"/>
    <ds:schemaRef ds:uri="e63bfddb-9061-4389-a996-e03c5bf831c8"/>
    <ds:schemaRef ds:uri="http://schemas.microsoft.com/office/2006/documentManagement/types"/>
    <ds:schemaRef ds:uri="http://purl.org/dc/elements/1.1/"/>
    <ds:schemaRef ds:uri="http://schemas.microsoft.com/office/2006/metadata/properties"/>
    <ds:schemaRef ds:uri="ed078717-f1cf-4fad-8467-84ec909a951e"/>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E5013B7-39A1-4906-93DD-E2C93275B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078717-f1cf-4fad-8467-84ec909a951e"/>
    <ds:schemaRef ds:uri="e63bfddb-9061-4389-a996-e03c5bf83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Model Inputs</vt:lpstr>
      <vt:lpstr>Estimate - Baseline</vt:lpstr>
      <vt:lpstr>Estimate - Rate Decline</vt:lpstr>
      <vt:lpstr>Estimate - Scenario</vt:lpstr>
      <vt:lpstr>Estimate - Fiscal Costs</vt:lpstr>
    </vt:vector>
  </TitlesOfParts>
  <Manager/>
  <Company>CMHC-SCHL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kfontain</dc:creator>
  <cp:keywords/>
  <dc:description/>
  <cp:lastModifiedBy>Hamel Laberge, Marie-Eve</cp:lastModifiedBy>
  <cp:revision/>
  <dcterms:created xsi:type="dcterms:W3CDTF">2021-10-21T16:00:58Z</dcterms:created>
  <dcterms:modified xsi:type="dcterms:W3CDTF">2021-12-21T13:26:34Z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0x010100FA602656996AAA4E8E37DE888DA52FDB</vt:lpwstr>
  </property>
  <property fmtid="{D5CDD505-2E9C-101B-9397-08002B2CF9AE}" pid="3" name="p8d4f4b4af6c4943adc039879750ddf3">
    <vt:lpwstr>In Progress|aa03d7cb-f77d-4e8c-8d9b-72726258891a</vt:lpwstr>
  </property>
  <property fmtid="{D5CDD505-2E9C-101B-9397-08002B2CF9AE}" pid="4" name="TaxCatchAll">
    <vt:lpwstr>5;#In Progress|aa03d7cb-f77d-4e8c-8d9b-72726258891a;#18;#PA - Parliamentary Affairs|dd542011-cb9d-469c-8114-f27f71da64a7</vt:lpwstr>
  </property>
  <property fmtid="{D5CDD505-2E9C-101B-9397-08002B2CF9AE}" pid="5" name="j9d9edc6eae6403dbda41c481561f5e1">
    <vt:lpwstr>PA - Parliamentary Affairs|dd542011-cb9d-469c-8114-f27f71da64a7</vt:lpwstr>
  </property>
  <property fmtid="{D5CDD505-2E9C-101B-9397-08002B2CF9AE}" pid="6" name="DocketLead">
    <vt:lpwstr>36</vt:lpwstr>
  </property>
  <property fmtid="{D5CDD505-2E9C-101B-9397-08002B2CF9AE}" pid="7" name="DocketId">
    <vt:lpwstr>PA210800</vt:lpwstr>
  </property>
  <property fmtid="{D5CDD505-2E9C-101B-9397-08002B2CF9AE}" pid="8" name="DocketType">
    <vt:lpwstr>18</vt:lpwstr>
  </property>
  <property fmtid="{D5CDD505-2E9C-101B-9397-08002B2CF9AE}" pid="9" name="DocketDueDate">
    <vt:filetime>2021-11-16T05:00:00Z</vt:filetime>
  </property>
  <property fmtid="{D5CDD505-2E9C-101B-9397-08002B2CF9AE}" pid="10" name="DocketStatus">
    <vt:lpwstr>Open</vt:lpwstr>
  </property>
  <property fmtid="{D5CDD505-2E9C-101B-9397-08002B2CF9AE}" pid="11" name="Business_x0020_Sector">
    <vt:lpwstr/>
  </property>
  <property fmtid="{D5CDD505-2E9C-101B-9397-08002B2CF9AE}" pid="12" name="DocketWorkStatus">
    <vt:lpwstr>5;#In Progress|aa03d7cb-f77d-4e8c-8d9b-72726258891a</vt:lpwstr>
  </property>
  <property fmtid="{D5CDD505-2E9C-101B-9397-08002B2CF9AE}" pid="13" name="pe9af13a2b1f4b4a91b1ad5569837d70">
    <vt:lpwstr/>
  </property>
  <property fmtid="{D5CDD505-2E9C-101B-9397-08002B2CF9AE}" pid="14" name="Business Sector">
    <vt:lpwstr/>
  </property>
</Properties>
</file>